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.PROCONSUMIDOR\Desktop\Transparencia documentos viejos\2021\Balance general\"/>
    </mc:Choice>
  </mc:AlternateContent>
  <xr:revisionPtr revIDLastSave="0" documentId="8_{FAA7BC10-2FCE-461A-BD73-E8CC8D275865}" xr6:coauthVersionLast="47" xr6:coauthVersionMax="47" xr10:uidLastSave="{00000000-0000-0000-0000-000000000000}"/>
  <bookViews>
    <workbookView xWindow="-120" yWindow="-120" windowWidth="24240" windowHeight="13140" tabRatio="524" firstSheet="31" activeTab="31" xr2:uid="{00000000-000D-0000-FFFF-FFFF00000000}"/>
  </bookViews>
  <sheets>
    <sheet name="ABRIL- 2021      (3)" sheetId="37" r:id="rId1"/>
    <sheet name="Hoja4" sheetId="38" r:id="rId2"/>
    <sheet name="ABRIL- 2021      (2)" sheetId="36" r:id="rId3"/>
    <sheet name="SEPTIEMBRE 2020    (3)" sheetId="19" r:id="rId4"/>
    <sheet name="SEPTIEMBRE 2020    (2)" sheetId="18" r:id="rId5"/>
    <sheet name="ABRIL-2020    (2)" sheetId="12" r:id="rId6"/>
    <sheet name="JULIO 2019" sheetId="1" r:id="rId7"/>
    <sheet name=" AGOSTO-2019 " sheetId="3" r:id="rId8"/>
    <sheet name=" SEPTIEMBRE-2019  " sheetId="4" r:id="rId9"/>
    <sheet name="OCTUBRE-2019" sheetId="5" r:id="rId10"/>
    <sheet name="Hoja8" sheetId="25" r:id="rId11"/>
    <sheet name="NOVIEMBRE-2019" sheetId="6" r:id="rId12"/>
    <sheet name="DICIEMBRE-2019" sheetId="7" r:id="rId13"/>
    <sheet name="ENERO-2020" sheetId="8" r:id="rId14"/>
    <sheet name="FEBRERO-2020 " sheetId="9" r:id="rId15"/>
    <sheet name="MARZO-2020  " sheetId="10" r:id="rId16"/>
    <sheet name="ABRIL 2020" sheetId="13" r:id="rId17"/>
    <sheet name="MAYO 2020" sheetId="11" r:id="rId18"/>
    <sheet name="JUNIO 2020 " sheetId="14" r:id="rId19"/>
    <sheet name="JULIO 2020  " sheetId="15" r:id="rId20"/>
    <sheet name="AGOSTO 2020  " sheetId="16" r:id="rId21"/>
    <sheet name="SEPTIEMBRE 2020    (4)" sheetId="27" r:id="rId22"/>
    <sheet name="OCTUBRE- 2020   " sheetId="17" r:id="rId23"/>
    <sheet name="NOVIEMBRE- 2020     " sheetId="29" r:id="rId24"/>
    <sheet name="DICIEMBRE- 2020  " sheetId="30" r:id="rId25"/>
    <sheet name="ENERO- 2021    " sheetId="28" r:id="rId26"/>
    <sheet name="FEBRERO- 2021   " sheetId="33" r:id="rId27"/>
    <sheet name="MARZO- 2021    " sheetId="34" r:id="rId28"/>
    <sheet name="ABRIL- 2021     " sheetId="35" r:id="rId29"/>
    <sheet name="MAYO-2021" sheetId="39" r:id="rId30"/>
    <sheet name="JUNIO-2021 " sheetId="41" r:id="rId31"/>
    <sheet name="DIC.2021" sheetId="45" r:id="rId32"/>
    <sheet name="Hoja1" sheetId="40" r:id="rId33"/>
  </sheets>
  <definedNames>
    <definedName name="_xlnm.Print_Area" localSheetId="16">'ABRIL 2020'!$A$1:$C$49</definedName>
    <definedName name="_xlnm.Print_Area" localSheetId="28">'ABRIL- 2021     '!$A$1:$C$49</definedName>
    <definedName name="_xlnm.Print_Area" localSheetId="2">'ABRIL- 2021      (2)'!$A$1:$C$49</definedName>
    <definedName name="_xlnm.Print_Area" localSheetId="0">'ABRIL- 2021      (3)'!$A$1:$C$49</definedName>
    <definedName name="_xlnm.Print_Area" localSheetId="5">'ABRIL-2020    (2)'!$A$1:$C$49</definedName>
    <definedName name="_xlnm.Print_Area" localSheetId="20">'AGOSTO 2020  '!$A$1:$C$49</definedName>
    <definedName name="_xlnm.Print_Area" localSheetId="31">DIC.2021!$A$1:$C$49</definedName>
    <definedName name="_xlnm.Print_Area" localSheetId="24">'DICIEMBRE- 2020  '!$A$1:$C$48</definedName>
    <definedName name="_xlnm.Print_Area" localSheetId="12">'DICIEMBRE-2019'!$A$1:$C$48</definedName>
    <definedName name="_xlnm.Print_Area" localSheetId="25">'ENERO- 2021    '!$A$1:$C$49</definedName>
    <definedName name="_xlnm.Print_Area" localSheetId="13">'ENERO-2020'!$A$1:$C$49</definedName>
    <definedName name="_xlnm.Print_Area" localSheetId="26">'FEBRERO- 2021   '!$A$1:$C$49</definedName>
    <definedName name="_xlnm.Print_Area" localSheetId="14">'FEBRERO-2020 '!$A$1:$C$49</definedName>
    <definedName name="_xlnm.Print_Area" localSheetId="19">'JULIO 2020  '!$A$1:$C$49</definedName>
    <definedName name="_xlnm.Print_Area" localSheetId="18">'JUNIO 2020 '!$A$1:$C$49</definedName>
    <definedName name="_xlnm.Print_Area" localSheetId="30">'JUNIO-2021 '!$A$1:$C$49</definedName>
    <definedName name="_xlnm.Print_Area" localSheetId="27">'MARZO- 2021    '!$A$1:$C$49</definedName>
    <definedName name="_xlnm.Print_Area" localSheetId="15">'MARZO-2020  '!$A$1:$C$49</definedName>
    <definedName name="_xlnm.Print_Area" localSheetId="17">'MAYO 2020'!$A$1:$C$49</definedName>
    <definedName name="_xlnm.Print_Area" localSheetId="29">'MAYO-2021'!$A$1:$C$49</definedName>
    <definedName name="_xlnm.Print_Area" localSheetId="23">'NOVIEMBRE- 2020     '!$A$1:$C$48</definedName>
    <definedName name="_xlnm.Print_Area" localSheetId="11">'NOVIEMBRE-2019'!$A$1:$C$48</definedName>
    <definedName name="_xlnm.Print_Area" localSheetId="22">'OCTUBRE- 2020   '!$A$1:$C$49</definedName>
    <definedName name="_xlnm.Print_Area" localSheetId="9">'OCTUBRE-2019'!$A$1:$C$48</definedName>
    <definedName name="_xlnm.Print_Area" localSheetId="4">'SEPTIEMBRE 2020    (2)'!$A$1:$C$49</definedName>
    <definedName name="_xlnm.Print_Area" localSheetId="3">'SEPTIEMBRE 2020    (3)'!$A$1:$C$49</definedName>
    <definedName name="_xlnm.Print_Area" localSheetId="21">'SEPTIEMBRE 2020    (4)'!$A$1:$C$49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45" l="1"/>
  <c r="C39" i="45" l="1"/>
  <c r="C41" i="45" s="1"/>
  <c r="C21" i="45"/>
  <c r="C31" i="45"/>
  <c r="C43" i="45" s="1"/>
  <c r="C25" i="45"/>
  <c r="C16" i="45"/>
  <c r="C26" i="45" l="1"/>
  <c r="G41" i="30"/>
  <c r="E45" i="30"/>
  <c r="E39" i="30"/>
  <c r="C40" i="6"/>
  <c r="C41" i="41" l="1"/>
  <c r="C20" i="41"/>
  <c r="C31" i="41"/>
  <c r="C25" i="41"/>
  <c r="C21" i="41"/>
  <c r="C16" i="41"/>
  <c r="C43" i="41" l="1"/>
  <c r="C26" i="41"/>
  <c r="C19" i="39"/>
  <c r="C12" i="39"/>
  <c r="C19" i="35"/>
  <c r="C41" i="39"/>
  <c r="C31" i="39"/>
  <c r="C25" i="39"/>
  <c r="C21" i="39"/>
  <c r="C16" i="39"/>
  <c r="C41" i="37"/>
  <c r="C40" i="37"/>
  <c r="C31" i="37"/>
  <c r="C43" i="37" s="1"/>
  <c r="C25" i="37"/>
  <c r="C19" i="37"/>
  <c r="C21" i="37" s="1"/>
  <c r="C16" i="37"/>
  <c r="C40" i="36"/>
  <c r="C41" i="36" s="1"/>
  <c r="C31" i="36"/>
  <c r="C43" i="36" s="1"/>
  <c r="C25" i="36"/>
  <c r="C19" i="36"/>
  <c r="C21" i="36" s="1"/>
  <c r="C16" i="36"/>
  <c r="D16" i="36" s="1"/>
  <c r="D12" i="36" s="1"/>
  <c r="C26" i="36" l="1"/>
  <c r="C26" i="37"/>
  <c r="C43" i="39"/>
  <c r="C26" i="39"/>
  <c r="D16" i="37"/>
  <c r="D12" i="37" s="1"/>
  <c r="C40" i="35"/>
  <c r="C21" i="35" l="1"/>
  <c r="C41" i="35"/>
  <c r="C31" i="35"/>
  <c r="C25" i="35"/>
  <c r="C16" i="35"/>
  <c r="C26" i="35" l="1"/>
  <c r="C43" i="35"/>
  <c r="C16" i="34"/>
  <c r="C19" i="34" l="1"/>
  <c r="C21" i="34" s="1"/>
  <c r="C39" i="34"/>
  <c r="C41" i="34" s="1"/>
  <c r="C31" i="34"/>
  <c r="C25" i="34"/>
  <c r="C26" i="34" l="1"/>
  <c r="C43" i="34"/>
  <c r="C40" i="33"/>
  <c r="D30" i="33"/>
  <c r="C19" i="33"/>
  <c r="C39" i="33" l="1"/>
  <c r="C41" i="33" s="1"/>
  <c r="C43" i="33" s="1"/>
  <c r="C31" i="33"/>
  <c r="C25" i="33"/>
  <c r="C21" i="33"/>
  <c r="C16" i="33"/>
  <c r="C39" i="28"/>
  <c r="C16" i="28"/>
  <c r="C26" i="33" l="1"/>
  <c r="C25" i="28"/>
  <c r="C21" i="28"/>
  <c r="C38" i="30"/>
  <c r="E42" i="30" s="1"/>
  <c r="C30" i="30"/>
  <c r="C24" i="30"/>
  <c r="C19" i="30"/>
  <c r="C20" i="30" s="1"/>
  <c r="C15" i="30"/>
  <c r="C40" i="30" l="1"/>
  <c r="C42" i="30" s="1"/>
  <c r="C26" i="28"/>
  <c r="C25" i="30"/>
  <c r="C38" i="29"/>
  <c r="C40" i="29" l="1"/>
  <c r="C30" i="29"/>
  <c r="C42" i="29" s="1"/>
  <c r="C24" i="29"/>
  <c r="C20" i="29"/>
  <c r="C15" i="29"/>
  <c r="C25" i="29" l="1"/>
  <c r="C41" i="28"/>
  <c r="C31" i="28"/>
  <c r="C43" i="28" l="1"/>
  <c r="C39" i="17"/>
  <c r="C19" i="17"/>
  <c r="C41" i="27"/>
  <c r="C43" i="27" s="1"/>
  <c r="C31" i="27"/>
  <c r="C25" i="27"/>
  <c r="C21" i="27"/>
  <c r="C19" i="27"/>
  <c r="C16" i="27"/>
  <c r="C41" i="19"/>
  <c r="C31" i="19"/>
  <c r="C43" i="19" s="1"/>
  <c r="C25" i="19"/>
  <c r="C19" i="19"/>
  <c r="C21" i="19" s="1"/>
  <c r="C16" i="19"/>
  <c r="C41" i="18"/>
  <c r="C31" i="18"/>
  <c r="C25" i="18"/>
  <c r="C21" i="18"/>
  <c r="C19" i="18"/>
  <c r="C16" i="18"/>
  <c r="C26" i="19" l="1"/>
  <c r="C26" i="18"/>
  <c r="C43" i="18"/>
  <c r="C26" i="27"/>
  <c r="C41" i="17"/>
  <c r="C31" i="17"/>
  <c r="C25" i="17"/>
  <c r="C21" i="17"/>
  <c r="C16" i="17"/>
  <c r="C43" i="17" l="1"/>
  <c r="C26" i="17"/>
  <c r="C40" i="16"/>
  <c r="C41" i="16" s="1"/>
  <c r="C19" i="16"/>
  <c r="C31" i="16"/>
  <c r="C25" i="16"/>
  <c r="C21" i="16"/>
  <c r="C26" i="16" s="1"/>
  <c r="C16" i="16"/>
  <c r="C43" i="16" l="1"/>
  <c r="C40" i="15"/>
  <c r="C19" i="15"/>
  <c r="C21" i="15" l="1"/>
  <c r="C39" i="15"/>
  <c r="C41" i="15" s="1"/>
  <c r="C31" i="15"/>
  <c r="C25" i="15"/>
  <c r="C16" i="15"/>
  <c r="C26" i="15" l="1"/>
  <c r="C43" i="15"/>
  <c r="C39" i="14"/>
  <c r="C41" i="14" s="1"/>
  <c r="C19" i="14"/>
  <c r="C31" i="14"/>
  <c r="C25" i="14"/>
  <c r="C21" i="14"/>
  <c r="C16" i="14"/>
  <c r="C43" i="14" l="1"/>
  <c r="C26" i="14"/>
  <c r="E45" i="13"/>
  <c r="C43" i="13"/>
  <c r="C41" i="13"/>
  <c r="C31" i="13"/>
  <c r="C25" i="13"/>
  <c r="C19" i="13"/>
  <c r="C21" i="13" s="1"/>
  <c r="C16" i="13"/>
  <c r="C26" i="13" l="1"/>
  <c r="C19" i="10"/>
  <c r="C21" i="10"/>
  <c r="C40" i="12"/>
  <c r="C39" i="12"/>
  <c r="C41" i="12" s="1"/>
  <c r="C31" i="12"/>
  <c r="C43" i="12" s="1"/>
  <c r="E30" i="12"/>
  <c r="C25" i="12"/>
  <c r="E21" i="12"/>
  <c r="C21" i="12"/>
  <c r="C16" i="12"/>
  <c r="C26" i="12" s="1"/>
  <c r="E26" i="12" s="1"/>
  <c r="C41" i="11" l="1"/>
  <c r="C16" i="11"/>
  <c r="C31" i="11"/>
  <c r="C25" i="11"/>
  <c r="C21" i="11"/>
  <c r="C43" i="11" l="1"/>
  <c r="C26" i="11"/>
  <c r="E30" i="10"/>
  <c r="C39" i="10"/>
  <c r="C41" i="10" s="1"/>
  <c r="C31" i="10"/>
  <c r="C25" i="10"/>
  <c r="C16" i="10"/>
  <c r="C26" i="10" s="1"/>
  <c r="E42" i="11" l="1"/>
  <c r="C43" i="10"/>
  <c r="E13" i="9"/>
  <c r="E41" i="9"/>
  <c r="C39" i="9"/>
  <c r="C41" i="9" s="1"/>
  <c r="C19" i="9"/>
  <c r="C21" i="9" s="1"/>
  <c r="C12" i="9"/>
  <c r="C16" i="9" s="1"/>
  <c r="C31" i="9"/>
  <c r="C25" i="9"/>
  <c r="E26" i="10" l="1"/>
  <c r="D43" i="10"/>
  <c r="C43" i="9"/>
  <c r="C26" i="9"/>
  <c r="C19" i="8"/>
  <c r="C25" i="8"/>
  <c r="C16" i="8"/>
  <c r="C16" i="7" l="1"/>
  <c r="C21" i="8"/>
  <c r="C41" i="8" l="1"/>
  <c r="C31" i="8"/>
  <c r="C26" i="8" l="1"/>
  <c r="C43" i="8"/>
  <c r="C40" i="7"/>
  <c r="C41" i="7" s="1"/>
  <c r="C19" i="7"/>
  <c r="E24" i="7"/>
  <c r="E19" i="7"/>
  <c r="C31" i="7"/>
  <c r="C25" i="7"/>
  <c r="C21" i="7" l="1"/>
  <c r="C26" i="7" s="1"/>
  <c r="C43" i="7"/>
  <c r="E43" i="7" s="1"/>
  <c r="C19" i="6"/>
  <c r="C21" i="6" s="1"/>
  <c r="C26" i="6" s="1"/>
  <c r="D26" i="6" s="1"/>
  <c r="C41" i="6"/>
  <c r="E30" i="6"/>
  <c r="C31" i="6"/>
  <c r="E25" i="6"/>
  <c r="C25" i="6"/>
  <c r="C16" i="6"/>
  <c r="C43" i="6" l="1"/>
  <c r="C25" i="5"/>
  <c r="C13" i="5"/>
  <c r="C16" i="5" s="1"/>
  <c r="C26" i="5" s="1"/>
  <c r="E30" i="5"/>
  <c r="E25" i="5"/>
  <c r="C30" i="5"/>
  <c r="C21" i="4"/>
  <c r="C16" i="4"/>
  <c r="C19" i="5"/>
  <c r="C21" i="5" s="1"/>
  <c r="C41" i="5"/>
  <c r="C31" i="5"/>
  <c r="C43" i="5" l="1"/>
  <c r="C26" i="4" l="1"/>
  <c r="D16" i="4"/>
  <c r="F22" i="4"/>
  <c r="F24" i="4"/>
  <c r="C39" i="3"/>
  <c r="E39" i="4"/>
  <c r="C41" i="4"/>
  <c r="E22" i="4"/>
  <c r="C31" i="4"/>
  <c r="C43" i="4" l="1"/>
  <c r="E45" i="4" s="1"/>
  <c r="E26" i="4"/>
  <c r="E15" i="4"/>
  <c r="C41" i="3"/>
  <c r="C20" i="3"/>
  <c r="C21" i="3" s="1"/>
  <c r="E20" i="3"/>
  <c r="E21" i="3" s="1"/>
  <c r="C16" i="3"/>
  <c r="F20" i="3"/>
  <c r="F15" i="3" l="1"/>
  <c r="C26" i="3"/>
  <c r="E28" i="4" s="1"/>
  <c r="C31" i="3" l="1"/>
  <c r="C43" i="3" s="1"/>
  <c r="C35" i="1" l="1"/>
  <c r="C12" i="1" l="1"/>
  <c r="C16" i="1" s="1"/>
  <c r="C20" i="1" l="1"/>
  <c r="C21" i="1" s="1"/>
  <c r="C26" i="1" s="1"/>
  <c r="C41" i="1" l="1"/>
  <c r="C31" i="1" l="1"/>
  <c r="C43" i="1" l="1"/>
</calcChain>
</file>

<file path=xl/sharedStrings.xml><?xml version="1.0" encoding="utf-8"?>
<sst xmlns="http://schemas.openxmlformats.org/spreadsheetml/2006/main" count="1022" uniqueCount="37">
  <si>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</si>
  <si>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</si>
  <si>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</si>
  <si>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</si>
  <si>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</si>
  <si>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</si>
  <si>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</si>
  <si>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</si>
  <si>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</si>
  <si>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</si>
  <si>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</si>
  <si>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</si>
  <si>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</si>
  <si>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</si>
  <si>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</si>
  <si>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</si>
  <si>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</si>
  <si>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</si>
  <si>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</si>
  <si>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</si>
  <si>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</si>
  <si>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</si>
  <si>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</si>
  <si>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</si>
  <si>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</si>
  <si>
    <t>__________________________</t>
  </si>
  <si>
    <t>Licda. Katy Tavarez</t>
  </si>
  <si>
    <t>Enc. Depto. Financiero</t>
  </si>
  <si>
    <t>Lic.Pedro Jimenez</t>
  </si>
  <si>
    <t>Enc. Division Contabilidad</t>
  </si>
  <si>
    <t>PASIVOS NO  CORRIENTES</t>
  </si>
  <si>
    <t xml:space="preserve">CUENTAS POR PAGAR A LARGO PLAZO </t>
  </si>
  <si>
    <t xml:space="preserve">      Licda. Katy Tavarez</t>
  </si>
  <si>
    <t xml:space="preserve">      Enc. Depto. Financiero</t>
  </si>
  <si>
    <t xml:space="preserve">    Lic.Pedro Jimenez</t>
  </si>
  <si>
    <t xml:space="preserve">    Enc. Division Contabilidad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</si>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</sst>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  <numFmt numFmtId="166" formatCode="&quot;$&quot;#,##0.00"/>
    <numFmt numFmtId="167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/>
    <xf numFmtId="0" fontId="6" fillId="2" borderId="0" xfId="5" applyFont="1" applyFill="1" applyAlignment="1">
      <alignment horizontal="justify"/>
    </xf>
    <xf numFmtId="0" fontId="7" fillId="0" borderId="0" xfId="0" applyFont="1"/>
    <xf numFmtId="43" fontId="0" fillId="0" borderId="0" xfId="6" applyFont="1"/>
    <xf numFmtId="2" fontId="0" fillId="0" borderId="0" xfId="0" applyNumberFormat="1"/>
    <xf numFmtId="43" fontId="9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2" fillId="3" borderId="0" xfId="3" applyNumberFormat="1" applyFont="1" applyFill="1" applyAlignment="1">
      <alignment horizontal="right"/>
    </xf>
    <xf numFmtId="4" fontId="0" fillId="0" borderId="0" xfId="0" applyNumberFormat="1"/>
    <xf numFmtId="4" fontId="4" fillId="3" borderId="2" xfId="4" applyNumberFormat="1" applyFont="1" applyFill="1" applyBorder="1" applyAlignment="1">
      <alignment horizontal="right"/>
    </xf>
    <xf numFmtId="4" fontId="2" fillId="2" borderId="0" xfId="2" applyNumberFormat="1" applyFont="1" applyFill="1" applyAlignment="1">
      <alignment horizontal="right"/>
    </xf>
    <xf numFmtId="4" fontId="2" fillId="3" borderId="0" xfId="2" applyNumberFormat="1" applyFont="1" applyFill="1" applyAlignment="1">
      <alignment horizontal="right"/>
    </xf>
    <xf numFmtId="4" fontId="2" fillId="0" borderId="0" xfId="2" applyNumberFormat="1" applyFont="1" applyAlignment="1">
      <alignment horizontal="right"/>
    </xf>
    <xf numFmtId="4" fontId="2" fillId="2" borderId="0" xfId="3" applyNumberFormat="1" applyFont="1" applyFill="1" applyBorder="1" applyAlignment="1">
      <alignment horizontal="right"/>
    </xf>
    <xf numFmtId="4" fontId="4" fillId="3" borderId="0" xfId="2" applyNumberFormat="1" applyFont="1" applyFill="1" applyBorder="1" applyAlignment="1">
      <alignment horizontal="right"/>
    </xf>
    <xf numFmtId="4" fontId="2" fillId="2" borderId="0" xfId="3" applyNumberFormat="1" applyFont="1" applyFill="1" applyAlignment="1">
      <alignment horizontal="right"/>
    </xf>
    <xf numFmtId="4" fontId="2" fillId="3" borderId="3" xfId="3" applyNumberFormat="1" applyFont="1" applyFill="1" applyBorder="1" applyAlignment="1">
      <alignment horizontal="right"/>
    </xf>
    <xf numFmtId="4" fontId="4" fillId="3" borderId="0" xfId="4" applyNumberFormat="1" applyFont="1" applyFill="1" applyBorder="1" applyAlignment="1">
      <alignment horizontal="right"/>
    </xf>
    <xf numFmtId="4" fontId="4" fillId="3" borderId="2" xfId="3" applyNumberFormat="1" applyFont="1" applyFill="1" applyBorder="1" applyAlignment="1">
      <alignment horizontal="right"/>
    </xf>
    <xf numFmtId="4" fontId="4" fillId="3" borderId="0" xfId="3" applyNumberFormat="1" applyFont="1" applyFill="1" applyBorder="1" applyAlignment="1">
      <alignment horizontal="right"/>
    </xf>
    <xf numFmtId="4" fontId="7" fillId="0" borderId="0" xfId="0" applyNumberFormat="1" applyFont="1"/>
    <xf numFmtId="4" fontId="0" fillId="0" borderId="3" xfId="0" applyNumberFormat="1" applyBorder="1"/>
    <xf numFmtId="43" fontId="10" fillId="0" borderId="0" xfId="0" applyNumberFormat="1" applyFont="1"/>
    <xf numFmtId="164" fontId="12" fillId="0" borderId="0" xfId="0" applyNumberFormat="1" applyFont="1"/>
    <xf numFmtId="164" fontId="11" fillId="0" borderId="0" xfId="0" applyNumberFormat="1" applyFont="1"/>
    <xf numFmtId="43" fontId="10" fillId="0" borderId="0" xfId="6" applyFont="1"/>
    <xf numFmtId="43" fontId="9" fillId="0" borderId="0" xfId="6" applyFont="1"/>
    <xf numFmtId="164" fontId="4" fillId="5" borderId="1" xfId="4" applyFont="1" applyFill="1" applyBorder="1" applyAlignment="1">
      <alignment horizontal="right"/>
    </xf>
    <xf numFmtId="164" fontId="4" fillId="3" borderId="1" xfId="4" applyFont="1" applyFill="1" applyBorder="1" applyAlignment="1">
      <alignment horizontal="right"/>
    </xf>
    <xf numFmtId="43" fontId="13" fillId="0" borderId="0" xfId="6" applyFont="1"/>
    <xf numFmtId="43" fontId="12" fillId="0" borderId="0" xfId="6" applyFont="1" applyAlignment="1">
      <alignment horizontal="right"/>
    </xf>
    <xf numFmtId="4" fontId="2" fillId="6" borderId="0" xfId="3" applyNumberFormat="1" applyFont="1" applyFill="1" applyAlignment="1">
      <alignment horizontal="right"/>
    </xf>
    <xf numFmtId="4" fontId="2" fillId="7" borderId="0" xfId="3" applyNumberFormat="1" applyFont="1" applyFill="1" applyAlignment="1">
      <alignment horizontal="right"/>
    </xf>
    <xf numFmtId="0" fontId="6" fillId="3" borderId="0" xfId="5" applyFont="1" applyFill="1" applyAlignment="1">
      <alignment horizontal="justify"/>
    </xf>
    <xf numFmtId="0" fontId="7" fillId="3" borderId="0" xfId="0" applyFont="1" applyFill="1"/>
    <xf numFmtId="4" fontId="7" fillId="3" borderId="0" xfId="0" applyNumberFormat="1" applyFont="1" applyFill="1"/>
    <xf numFmtId="4" fontId="0" fillId="3" borderId="0" xfId="0" applyNumberFormat="1" applyFill="1"/>
    <xf numFmtId="4" fontId="3" fillId="3" borderId="0" xfId="0" applyNumberFormat="1" applyFont="1" applyFill="1" applyAlignment="1">
      <alignment horizontal="right"/>
    </xf>
    <xf numFmtId="166" fontId="0" fillId="0" borderId="0" xfId="0" applyNumberFormat="1"/>
    <xf numFmtId="44" fontId="0" fillId="0" borderId="0" xfId="0" applyNumberFormat="1"/>
    <xf numFmtId="167" fontId="0" fillId="0" borderId="0" xfId="0" applyNumberFormat="1"/>
  </cellXfs>
  <cellStyles count="7">
    <cellStyle name="Millares" xfId="6" builtinId="3"/>
    <cellStyle name="Millares 4" xfId="3" xr:uid="{00000000-0005-0000-0000-000001000000}"/>
    <cellStyle name="Moneda 4" xfId="4" xr:uid="{00000000-0005-0000-0000-000002000000}"/>
    <cellStyle name="Normal" xfId="0" builtinId="0"/>
    <cellStyle name="Normal 3" xfId="1" xr:uid="{00000000-0005-0000-0000-000004000000}"/>
    <cellStyle name="Normal 4" xfId="2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9015" cy="1547131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ABRIL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4767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NOVIEMBRE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2019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4767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DICIEMBRE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2019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4767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ENERO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29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FEBRERO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MARZO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ABRIL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MAYO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JUNIO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2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JULIO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AGOSTO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9015" cy="1547131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ABRIL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5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5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OCTUBRE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6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7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NOVIEMBRE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8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DICIEMBRE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8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ENERO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A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A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A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A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FEBRERO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A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B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B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B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B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MARZO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B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9015" cy="1547131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C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C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C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C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ABRIL 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1913452</xdr:colOff>
      <xdr:row>8</xdr:row>
      <xdr:rowOff>109425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316518" cy="1584411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D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MAYO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D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1913452</xdr:colOff>
      <xdr:row>8</xdr:row>
      <xdr:rowOff>109425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316518" cy="1584411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1E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1E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1E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JUNIO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1E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35944</xdr:colOff>
      <xdr:row>0</xdr:row>
      <xdr:rowOff>16665</xdr:rowOff>
    </xdr:from>
    <xdr:to>
      <xdr:col>3</xdr:col>
      <xdr:colOff>35410</xdr:colOff>
      <xdr:row>8</xdr:row>
      <xdr:rowOff>91453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>
          <a:grpSpLocks noChangeAspect="1"/>
        </xdr:cNvGrpSpPr>
      </xdr:nvGrpSpPr>
      <xdr:grpSpPr bwMode="auto">
        <a:xfrm>
          <a:off x="35944" y="16665"/>
          <a:ext cx="6314541" cy="1598788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2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23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2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23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DICIEMBRE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23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2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2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6499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ABRIL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2020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JULIO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2019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AGOSTO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2019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4767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2019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34637</xdr:rowOff>
    </xdr:from>
    <xdr:to>
      <xdr:col>2</xdr:col>
      <xdr:colOff>1885949</xdr:colOff>
      <xdr:row>8</xdr:row>
      <xdr:rowOff>72145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34637"/>
          <a:ext cx="6284767" cy="1561508"/>
          <a:chOff x="10" y="0"/>
          <a:chExt cx="686" cy="166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 OCTUBRE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2019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88477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57"/>
  <sheetViews>
    <sheetView topLeftCell="A23" zoomScale="106" zoomScaleNormal="106" workbookViewId="0">
      <selection activeCell="D26" sqref="D26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35834853.210000001</v>
      </c>
      <c r="D12" s="38">
        <f>C12-D16</f>
        <v>35834853.210000001</v>
      </c>
    </row>
    <row r="13" spans="1:8" ht="13.5" customHeight="1" x14ac:dyDescent="0.25">
      <c r="A13" s="10" t="s">
        <v>3</v>
      </c>
      <c r="B13" s="6"/>
      <c r="C13" s="61">
        <v>1789935</v>
      </c>
      <c r="D13" s="60"/>
      <c r="E13" s="56"/>
    </row>
    <row r="14" spans="1:8" ht="13.5" customHeight="1" x14ac:dyDescent="0.25">
      <c r="A14" s="10" t="s">
        <v>4</v>
      </c>
      <c r="B14" s="6"/>
      <c r="C14" s="37">
        <v>25000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38">
        <v>359615.28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38009403.490000002</v>
      </c>
      <c r="D16" s="32">
        <f>C16-38009403.49</f>
        <v>0</v>
      </c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63869872.26+950765.06+2952505.49+6904061.68+1175480.22</f>
        <v>75852684.710000008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2952505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78805189.710000008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117006150.00000001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4784210.9000000004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4784210.9000000004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v>14330869</v>
      </c>
      <c r="D39" s="41"/>
      <c r="E39" s="32"/>
    </row>
    <row r="40" spans="1:5" ht="13.5" customHeight="1" x14ac:dyDescent="0.25">
      <c r="A40" s="13" t="s">
        <v>21</v>
      </c>
      <c r="B40" s="6"/>
      <c r="C40" s="37">
        <f>26435147.28+6152642.82+4300</f>
        <v>32592090.100000001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112221939.09999999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117006150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G48"/>
  <sheetViews>
    <sheetView topLeftCell="A31" zoomScale="110" zoomScaleNormal="110" workbookViewId="0">
      <selection activeCell="C39" sqref="C39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42578125" style="2" bestFit="1" customWidth="1"/>
    <col min="5" max="5" width="20.710937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35752539.649999999</v>
      </c>
      <c r="D12" s="38"/>
    </row>
    <row r="13" spans="1:6" ht="13.5" customHeight="1" x14ac:dyDescent="0.25">
      <c r="A13" s="10" t="s">
        <v>3</v>
      </c>
      <c r="B13" s="6"/>
      <c r="C13" s="37">
        <f>1699643.92-6800.71</f>
        <v>1692843.21</v>
      </c>
    </row>
    <row r="14" spans="1:6" ht="13.5" customHeight="1" x14ac:dyDescent="0.25">
      <c r="A14" s="10" t="s">
        <v>4</v>
      </c>
      <c r="B14" s="6"/>
      <c r="C14" s="38">
        <v>0</v>
      </c>
    </row>
    <row r="15" spans="1:6" ht="13.5" customHeight="1" x14ac:dyDescent="0.25">
      <c r="A15" s="10" t="s">
        <v>5</v>
      </c>
      <c r="B15" s="6"/>
      <c r="C15" s="38">
        <v>0</v>
      </c>
      <c r="E15" s="26"/>
      <c r="F15" s="26"/>
    </row>
    <row r="16" spans="1:6" ht="17.25" customHeight="1" thickBot="1" x14ac:dyDescent="0.3">
      <c r="A16" s="11" t="s">
        <v>6</v>
      </c>
      <c r="B16" s="6"/>
      <c r="C16" s="19">
        <f>SUM(C12:C15)</f>
        <v>37445382.859999999</v>
      </c>
      <c r="D16" s="38"/>
    </row>
    <row r="17" spans="1:7" ht="13.5" customHeight="1" thickTop="1" x14ac:dyDescent="0.25">
      <c r="A17" s="13"/>
      <c r="B17" s="6"/>
      <c r="C17" s="40"/>
      <c r="E17" s="32"/>
      <c r="F17" s="26"/>
    </row>
    <row r="18" spans="1:7" ht="13.5" customHeight="1" x14ac:dyDescent="0.25">
      <c r="A18" s="11" t="s">
        <v>7</v>
      </c>
      <c r="B18" s="6"/>
      <c r="C18" s="41"/>
      <c r="E18" s="32"/>
      <c r="F18" s="26"/>
    </row>
    <row r="19" spans="1:7" ht="13.5" customHeight="1" x14ac:dyDescent="0.25">
      <c r="A19" s="10" t="s">
        <v>8</v>
      </c>
      <c r="B19" s="6"/>
      <c r="C19" s="42">
        <f>80852203.39-3031278.81</f>
        <v>77820924.579999998</v>
      </c>
      <c r="D19" s="1"/>
      <c r="E19" s="55"/>
      <c r="F19" s="52"/>
      <c r="G19" s="26"/>
    </row>
    <row r="20" spans="1:7" ht="13.5" customHeight="1" x14ac:dyDescent="0.25">
      <c r="A20" s="10" t="s">
        <v>9</v>
      </c>
      <c r="B20" s="6"/>
      <c r="C20" s="42">
        <v>2993162.25</v>
      </c>
      <c r="D20" s="26"/>
      <c r="E20" s="56"/>
      <c r="F20" s="34"/>
      <c r="G20" s="26"/>
    </row>
    <row r="21" spans="1:7" ht="21" customHeight="1" thickBot="1" x14ac:dyDescent="0.3">
      <c r="A21" s="11" t="s">
        <v>10</v>
      </c>
      <c r="B21" s="6"/>
      <c r="C21" s="19">
        <f>SUM(C19:C20)</f>
        <v>80814086.829999998</v>
      </c>
      <c r="D21" s="1"/>
      <c r="E21" s="32"/>
    </row>
    <row r="22" spans="1:7" ht="13.5" customHeight="1" thickTop="1" x14ac:dyDescent="0.25">
      <c r="A22" s="13"/>
      <c r="B22" s="6"/>
      <c r="C22" s="43"/>
      <c r="E22" s="32">
        <v>121584581.79000001</v>
      </c>
      <c r="F22" s="26"/>
    </row>
    <row r="23" spans="1:7" ht="13.5" customHeight="1" x14ac:dyDescent="0.25">
      <c r="A23" s="17" t="s">
        <v>11</v>
      </c>
      <c r="B23" s="6"/>
      <c r="C23" s="43"/>
      <c r="E23" s="56">
        <v>41002378.399999999</v>
      </c>
    </row>
    <row r="24" spans="1:7" ht="13.5" customHeight="1" x14ac:dyDescent="0.25">
      <c r="A24" s="13" t="s">
        <v>12</v>
      </c>
      <c r="B24" s="6"/>
      <c r="C24" s="43">
        <v>198556.79999999999</v>
      </c>
      <c r="D24" s="38"/>
      <c r="E24" s="32"/>
      <c r="F24" s="26"/>
    </row>
    <row r="25" spans="1:7" ht="15" customHeight="1" x14ac:dyDescent="0.25">
      <c r="A25" s="17" t="s">
        <v>13</v>
      </c>
      <c r="B25" s="6"/>
      <c r="C25" s="39">
        <f>C24</f>
        <v>198556.79999999999</v>
      </c>
      <c r="E25" s="32">
        <f>E22-E23</f>
        <v>80582203.390000015</v>
      </c>
    </row>
    <row r="26" spans="1:7" ht="19.5" customHeight="1" thickBot="1" x14ac:dyDescent="0.3">
      <c r="A26" s="18" t="s">
        <v>14</v>
      </c>
      <c r="B26" s="6"/>
      <c r="C26" s="19">
        <f>C16+C21+C25</f>
        <v>118458026.48999999</v>
      </c>
      <c r="D26" s="1"/>
      <c r="E26" s="32"/>
    </row>
    <row r="27" spans="1:7" ht="13.5" customHeight="1" thickTop="1" x14ac:dyDescent="0.25">
      <c r="A27" s="17"/>
      <c r="B27" s="6"/>
      <c r="C27" s="44"/>
      <c r="E27" s="32">
        <v>8877166.6799999997</v>
      </c>
    </row>
    <row r="28" spans="1:7" ht="13.5" customHeight="1" x14ac:dyDescent="0.25">
      <c r="A28" s="17" t="s">
        <v>15</v>
      </c>
      <c r="B28" s="6"/>
      <c r="C28" s="40"/>
      <c r="E28" s="34">
        <v>6044443.6699999999</v>
      </c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f>5942236.15</f>
        <v>5942236.1500000004</v>
      </c>
      <c r="D30" s="26"/>
      <c r="E30" s="26">
        <f>E27-E28</f>
        <v>2832723.01</v>
      </c>
    </row>
    <row r="31" spans="1:7" ht="13.5" customHeight="1" x14ac:dyDescent="0.25">
      <c r="A31" s="17" t="s">
        <v>18</v>
      </c>
      <c r="B31" s="6"/>
      <c r="C31" s="47">
        <f>SUM(C30)</f>
        <v>5942236.1500000004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</row>
    <row r="39" spans="1:5" ht="13.5" customHeight="1" x14ac:dyDescent="0.25">
      <c r="A39" s="13" t="s">
        <v>24</v>
      </c>
      <c r="B39" s="6"/>
      <c r="C39" s="41">
        <v>32735740</v>
      </c>
      <c r="D39" s="26"/>
      <c r="E39" s="38"/>
    </row>
    <row r="40" spans="1:5" ht="13.5" customHeight="1" x14ac:dyDescent="0.25">
      <c r="A40" s="13" t="s">
        <v>21</v>
      </c>
      <c r="B40" s="6"/>
      <c r="C40" s="37">
        <v>14481070</v>
      </c>
      <c r="D40" s="26"/>
      <c r="E40" s="26"/>
    </row>
    <row r="41" spans="1:5" ht="13.5" customHeight="1" x14ac:dyDescent="0.25">
      <c r="A41" s="17" t="s">
        <v>22</v>
      </c>
      <c r="B41" s="6"/>
      <c r="C41" s="48">
        <f>+C38+C39+C40</f>
        <v>112515790.34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118458026.49000001</v>
      </c>
      <c r="D43" s="53" t="s">
        <v>36</v>
      </c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x14ac:dyDescent="0.25">
      <c r="D45" s="1"/>
      <c r="E45" s="26"/>
    </row>
    <row r="46" spans="1:5" x14ac:dyDescent="0.25">
      <c r="A46" s="28" t="s">
        <v>25</v>
      </c>
      <c r="C46" s="38" t="s">
        <v>25</v>
      </c>
      <c r="D46" s="29"/>
    </row>
    <row r="47" spans="1:5" ht="13.5" customHeight="1" x14ac:dyDescent="0.25">
      <c r="A47" s="30" t="s">
        <v>34</v>
      </c>
      <c r="B47" s="31"/>
      <c r="C47" s="50" t="s">
        <v>32</v>
      </c>
      <c r="D47" s="29"/>
    </row>
    <row r="48" spans="1:5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29" right="0.43307086614173229" top="0.74803149606299213" bottom="0.74803149606299213" header="0.31496062992125984" footer="0.31496062992125984"/>
  <pageSetup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G48"/>
  <sheetViews>
    <sheetView topLeftCell="A34" zoomScale="110" zoomScaleNormal="110" workbookViewId="0">
      <selection activeCell="C12" sqref="C12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42578125" style="2" bestFit="1" customWidth="1"/>
    <col min="5" max="5" width="20.710937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28571888.710000001</v>
      </c>
      <c r="D12" s="38"/>
    </row>
    <row r="13" spans="1:6" ht="13.5" customHeight="1" x14ac:dyDescent="0.25">
      <c r="A13" s="10" t="s">
        <v>3</v>
      </c>
      <c r="B13" s="6"/>
      <c r="C13" s="37">
        <v>1782123.92</v>
      </c>
    </row>
    <row r="14" spans="1:6" ht="13.5" customHeight="1" x14ac:dyDescent="0.25">
      <c r="A14" s="10" t="s">
        <v>4</v>
      </c>
      <c r="B14" s="6"/>
      <c r="C14" s="38">
        <v>0</v>
      </c>
    </row>
    <row r="15" spans="1:6" ht="13.5" customHeight="1" x14ac:dyDescent="0.25">
      <c r="A15" s="10" t="s">
        <v>5</v>
      </c>
      <c r="B15" s="6"/>
      <c r="C15" s="38">
        <v>0</v>
      </c>
      <c r="E15" s="26"/>
      <c r="F15" s="26"/>
    </row>
    <row r="16" spans="1:6" ht="17.25" customHeight="1" thickBot="1" x14ac:dyDescent="0.3">
      <c r="A16" s="11" t="s">
        <v>6</v>
      </c>
      <c r="B16" s="6"/>
      <c r="C16" s="19">
        <f>SUM(C12:C15)</f>
        <v>30354012.630000003</v>
      </c>
      <c r="D16" s="38"/>
    </row>
    <row r="17" spans="1:7" ht="13.5" customHeight="1" thickTop="1" x14ac:dyDescent="0.25">
      <c r="A17" s="13"/>
      <c r="B17" s="6"/>
      <c r="C17" s="40"/>
      <c r="E17" s="32"/>
      <c r="F17" s="26"/>
    </row>
    <row r="18" spans="1:7" ht="13.5" customHeight="1" x14ac:dyDescent="0.25">
      <c r="A18" s="11" t="s">
        <v>7</v>
      </c>
      <c r="B18" s="6"/>
      <c r="C18" s="41"/>
      <c r="E18" s="32"/>
      <c r="F18" s="26"/>
    </row>
    <row r="19" spans="1:7" ht="13.5" customHeight="1" x14ac:dyDescent="0.25">
      <c r="A19" s="10" t="s">
        <v>8</v>
      </c>
      <c r="B19" s="6"/>
      <c r="C19" s="42">
        <f>90125580.13-8877166.68</f>
        <v>81248413.449999988</v>
      </c>
      <c r="D19" s="1"/>
      <c r="E19" s="55"/>
      <c r="F19" s="52"/>
      <c r="G19" s="26"/>
    </row>
    <row r="20" spans="1:7" ht="13.5" customHeight="1" x14ac:dyDescent="0.25">
      <c r="A20" s="10" t="s">
        <v>9</v>
      </c>
      <c r="B20" s="6"/>
      <c r="C20" s="42">
        <v>2832723.01</v>
      </c>
      <c r="D20" s="26"/>
      <c r="E20" s="56"/>
      <c r="F20" s="34"/>
      <c r="G20" s="26"/>
    </row>
    <row r="21" spans="1:7" ht="21" customHeight="1" thickBot="1" x14ac:dyDescent="0.3">
      <c r="A21" s="11" t="s">
        <v>10</v>
      </c>
      <c r="B21" s="6"/>
      <c r="C21" s="19">
        <f>SUM(C19:C20)</f>
        <v>84081136.459999993</v>
      </c>
      <c r="D21" s="1"/>
      <c r="E21" s="32"/>
    </row>
    <row r="22" spans="1:7" ht="13.5" customHeight="1" thickTop="1" x14ac:dyDescent="0.25">
      <c r="A22" s="13"/>
      <c r="B22" s="6"/>
      <c r="C22" s="43"/>
      <c r="E22" s="32">
        <v>125083514.86</v>
      </c>
      <c r="F22" s="26"/>
    </row>
    <row r="23" spans="1:7" ht="13.5" customHeight="1" x14ac:dyDescent="0.25">
      <c r="A23" s="17" t="s">
        <v>11</v>
      </c>
      <c r="B23" s="6"/>
      <c r="C23" s="43"/>
      <c r="E23" s="56">
        <v>34957934.729999997</v>
      </c>
    </row>
    <row r="24" spans="1:7" ht="13.5" customHeight="1" x14ac:dyDescent="0.25">
      <c r="A24" s="13" t="s">
        <v>12</v>
      </c>
      <c r="B24" s="6"/>
      <c r="C24" s="43">
        <v>198556.79999999999</v>
      </c>
      <c r="D24" s="38"/>
      <c r="E24" s="32"/>
      <c r="F24" s="26"/>
    </row>
    <row r="25" spans="1:7" ht="15" customHeight="1" x14ac:dyDescent="0.25">
      <c r="A25" s="17" t="s">
        <v>13</v>
      </c>
      <c r="B25" s="6"/>
      <c r="C25" s="39">
        <f>C24</f>
        <v>198556.79999999999</v>
      </c>
      <c r="E25" s="32">
        <f>E22-E23</f>
        <v>90125580.129999995</v>
      </c>
    </row>
    <row r="26" spans="1:7" ht="19.5" customHeight="1" thickBot="1" x14ac:dyDescent="0.3">
      <c r="A26" s="18" t="s">
        <v>14</v>
      </c>
      <c r="B26" s="6"/>
      <c r="C26" s="19">
        <f>C16+C21+C25</f>
        <v>114633705.89</v>
      </c>
      <c r="D26" s="1">
        <f>C26-114633706</f>
        <v>-0.10999999940395355</v>
      </c>
      <c r="E26" s="32"/>
    </row>
    <row r="27" spans="1:7" ht="13.5" customHeight="1" thickTop="1" x14ac:dyDescent="0.25">
      <c r="A27" s="17"/>
      <c r="B27" s="6"/>
      <c r="C27" s="44"/>
      <c r="E27" s="32">
        <v>8877166.6799999997</v>
      </c>
    </row>
    <row r="28" spans="1:7" ht="13.5" customHeight="1" x14ac:dyDescent="0.25">
      <c r="A28" s="17" t="s">
        <v>15</v>
      </c>
      <c r="B28" s="6"/>
      <c r="C28" s="40"/>
      <c r="E28" s="34">
        <v>6044443.6699999999</v>
      </c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v>9268794.0700000003</v>
      </c>
      <c r="D30" s="26"/>
      <c r="E30" s="26">
        <f>E27-E28</f>
        <v>2832723.01</v>
      </c>
    </row>
    <row r="31" spans="1:7" ht="13.5" customHeight="1" x14ac:dyDescent="0.25">
      <c r="A31" s="17" t="s">
        <v>18</v>
      </c>
      <c r="B31" s="6"/>
      <c r="C31" s="47">
        <f>SUM(C30)</f>
        <v>9268794.0700000003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</row>
    <row r="39" spans="1:5" ht="13.5" customHeight="1" x14ac:dyDescent="0.25">
      <c r="A39" s="13" t="s">
        <v>24</v>
      </c>
      <c r="B39" s="6"/>
      <c r="C39" s="41">
        <v>14481070</v>
      </c>
      <c r="D39" s="26"/>
      <c r="E39" s="38"/>
    </row>
    <row r="40" spans="1:5" ht="13.5" customHeight="1" x14ac:dyDescent="0.25">
      <c r="A40" s="13" t="s">
        <v>21</v>
      </c>
      <c r="B40" s="6"/>
      <c r="C40" s="37">
        <f>27581374.65-1996513.17</f>
        <v>25584861.479999997</v>
      </c>
      <c r="D40" s="26"/>
      <c r="E40" s="26"/>
    </row>
    <row r="41" spans="1:5" ht="13.5" customHeight="1" x14ac:dyDescent="0.25">
      <c r="A41" s="17" t="s">
        <v>22</v>
      </c>
      <c r="B41" s="6"/>
      <c r="C41" s="48">
        <f>+C38+C39+C40</f>
        <v>105364911.81999999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114633705.88999999</v>
      </c>
      <c r="D43" s="53" t="s">
        <v>36</v>
      </c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x14ac:dyDescent="0.25">
      <c r="D45" s="1"/>
      <c r="E45" s="26"/>
    </row>
    <row r="46" spans="1:5" x14ac:dyDescent="0.25">
      <c r="A46" s="28" t="s">
        <v>25</v>
      </c>
      <c r="C46" s="38" t="s">
        <v>25</v>
      </c>
      <c r="D46" s="29"/>
    </row>
    <row r="47" spans="1:5" ht="13.5" customHeight="1" x14ac:dyDescent="0.25">
      <c r="A47" s="30" t="s">
        <v>34</v>
      </c>
      <c r="B47" s="31"/>
      <c r="C47" s="50" t="s">
        <v>32</v>
      </c>
      <c r="D47" s="29"/>
    </row>
    <row r="48" spans="1:5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29" right="0.43307086614173229" top="0.74803149606299213" bottom="0.74803149606299213" header="0.31496062992125984" footer="0.31496062992125984"/>
  <pageSetup fitToHeight="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G48"/>
  <sheetViews>
    <sheetView topLeftCell="A28" zoomScale="110" zoomScaleNormal="110" workbookViewId="0">
      <selection activeCell="E36" sqref="E36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42578125" style="2" bestFit="1" customWidth="1"/>
    <col min="5" max="5" width="20.710937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24296958.550000001</v>
      </c>
      <c r="D12" s="38"/>
    </row>
    <row r="13" spans="1:6" ht="13.5" customHeight="1" x14ac:dyDescent="0.25">
      <c r="A13" s="10" t="s">
        <v>3</v>
      </c>
      <c r="B13" s="6"/>
      <c r="C13" s="37">
        <v>1802457.92</v>
      </c>
    </row>
    <row r="14" spans="1:6" ht="13.5" customHeight="1" x14ac:dyDescent="0.25">
      <c r="A14" s="10" t="s">
        <v>4</v>
      </c>
      <c r="B14" s="6"/>
      <c r="C14" s="38">
        <v>0</v>
      </c>
    </row>
    <row r="15" spans="1:6" ht="13.5" customHeight="1" x14ac:dyDescent="0.25">
      <c r="A15" s="10" t="s">
        <v>5</v>
      </c>
      <c r="B15" s="6"/>
      <c r="C15" s="38">
        <v>0</v>
      </c>
      <c r="E15" s="26"/>
      <c r="F15" s="26"/>
    </row>
    <row r="16" spans="1:6" ht="17.25" customHeight="1" thickBot="1" x14ac:dyDescent="0.3">
      <c r="A16" s="11" t="s">
        <v>6</v>
      </c>
      <c r="B16" s="6"/>
      <c r="C16" s="57">
        <f>SUM(C12:C15)</f>
        <v>26099416.469999999</v>
      </c>
      <c r="D16" s="38"/>
    </row>
    <row r="17" spans="1:7" ht="13.5" customHeight="1" thickTop="1" x14ac:dyDescent="0.25">
      <c r="A17" s="13"/>
      <c r="B17" s="6"/>
      <c r="C17" s="40"/>
      <c r="E17" s="32"/>
      <c r="F17" s="26"/>
    </row>
    <row r="18" spans="1:7" ht="13.5" customHeight="1" x14ac:dyDescent="0.25">
      <c r="A18" s="11" t="s">
        <v>7</v>
      </c>
      <c r="B18" s="6"/>
      <c r="C18" s="41"/>
      <c r="E18" s="32"/>
      <c r="F18" s="26"/>
    </row>
    <row r="19" spans="1:7" ht="13.5" customHeight="1" x14ac:dyDescent="0.25">
      <c r="A19" s="10" t="s">
        <v>8</v>
      </c>
      <c r="B19" s="6"/>
      <c r="C19" s="42">
        <f>81399886.59-138556.54</f>
        <v>81261330.049999997</v>
      </c>
      <c r="D19" s="1"/>
      <c r="E19" s="55">
        <f>89442332.36+834720.91</f>
        <v>90277053.269999996</v>
      </c>
      <c r="F19" s="52"/>
      <c r="G19" s="26"/>
    </row>
    <row r="20" spans="1:7" ht="13.5" customHeight="1" x14ac:dyDescent="0.25">
      <c r="A20" s="10" t="s">
        <v>9</v>
      </c>
      <c r="B20" s="6"/>
      <c r="C20" s="42">
        <v>8877166.6799999997</v>
      </c>
      <c r="D20" s="26"/>
      <c r="E20" s="56"/>
      <c r="F20" s="34"/>
      <c r="G20" s="26"/>
    </row>
    <row r="21" spans="1:7" ht="21" customHeight="1" thickBot="1" x14ac:dyDescent="0.3">
      <c r="A21" s="11" t="s">
        <v>10</v>
      </c>
      <c r="B21" s="6"/>
      <c r="C21" s="57">
        <f>SUM(C19:C20)</f>
        <v>90138496.729999989</v>
      </c>
      <c r="D21" s="1"/>
      <c r="E21" s="32"/>
    </row>
    <row r="22" spans="1:7" ht="13.5" customHeight="1" thickTop="1" x14ac:dyDescent="0.25">
      <c r="A22" s="13"/>
      <c r="B22" s="6"/>
      <c r="C22" s="43"/>
      <c r="E22" s="32"/>
      <c r="F22" s="26"/>
    </row>
    <row r="23" spans="1:7" ht="13.5" customHeight="1" x14ac:dyDescent="0.25">
      <c r="A23" s="17" t="s">
        <v>11</v>
      </c>
      <c r="B23" s="6"/>
      <c r="C23" s="43"/>
      <c r="E23" s="56"/>
    </row>
    <row r="24" spans="1:7" ht="13.5" customHeight="1" x14ac:dyDescent="0.25">
      <c r="A24" s="13" t="s">
        <v>12</v>
      </c>
      <c r="B24" s="6"/>
      <c r="C24" s="43">
        <v>138556.79999999999</v>
      </c>
      <c r="D24" s="38"/>
      <c r="E24" s="32">
        <f>C24-60000</f>
        <v>78556.799999999988</v>
      </c>
      <c r="F24" s="26"/>
    </row>
    <row r="25" spans="1:7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7" ht="19.5" customHeight="1" thickBot="1" x14ac:dyDescent="0.3">
      <c r="A26" s="18" t="s">
        <v>14</v>
      </c>
      <c r="B26" s="6"/>
      <c r="C26" s="19">
        <f>C16+C21+C25</f>
        <v>116376469.99999999</v>
      </c>
      <c r="D26" s="1"/>
      <c r="E26" s="32"/>
    </row>
    <row r="27" spans="1:7" ht="13.5" customHeight="1" thickTop="1" x14ac:dyDescent="0.25">
      <c r="A27" s="17"/>
      <c r="B27" s="6"/>
      <c r="C27" s="44"/>
      <c r="E27" s="32"/>
    </row>
    <row r="28" spans="1:7" ht="13.5" customHeight="1" x14ac:dyDescent="0.25">
      <c r="A28" s="17" t="s">
        <v>15</v>
      </c>
      <c r="B28" s="6"/>
      <c r="C28" s="40"/>
      <c r="E28" s="34"/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v>18194636.510000002</v>
      </c>
      <c r="D30" s="26"/>
      <c r="E30" s="26"/>
    </row>
    <row r="31" spans="1:7" ht="13.5" customHeight="1" x14ac:dyDescent="0.25">
      <c r="A31" s="17" t="s">
        <v>18</v>
      </c>
      <c r="B31" s="6"/>
      <c r="C31" s="47">
        <f>SUM(C30)</f>
        <v>18194636.510000002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</row>
    <row r="39" spans="1:5" ht="13.5" customHeight="1" x14ac:dyDescent="0.25">
      <c r="A39" s="13" t="s">
        <v>24</v>
      </c>
      <c r="B39" s="6"/>
      <c r="C39" s="41">
        <v>25584861.48</v>
      </c>
      <c r="D39" s="26"/>
      <c r="E39" s="38"/>
    </row>
    <row r="40" spans="1:5" ht="13.5" customHeight="1" x14ac:dyDescent="0.25">
      <c r="A40" s="13" t="s">
        <v>21</v>
      </c>
      <c r="B40" s="6"/>
      <c r="C40" s="37">
        <f>5301478.5+1996513.17</f>
        <v>7297991.6699999999</v>
      </c>
      <c r="D40" s="26"/>
      <c r="E40" s="26"/>
    </row>
    <row r="41" spans="1:5" ht="13.5" customHeight="1" x14ac:dyDescent="0.25">
      <c r="A41" s="17" t="s">
        <v>22</v>
      </c>
      <c r="B41" s="6"/>
      <c r="C41" s="48">
        <f>+C38+C39+C40</f>
        <v>98181833.49000001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116376470.00000001</v>
      </c>
      <c r="D43" s="53" t="s">
        <v>36</v>
      </c>
      <c r="E43" s="54">
        <f>C43-C26</f>
        <v>0</v>
      </c>
    </row>
    <row r="44" spans="1:5" ht="16.5" customHeight="1" thickTop="1" x14ac:dyDescent="0.25">
      <c r="A44" s="18"/>
      <c r="B44" s="6"/>
      <c r="C44" s="47"/>
      <c r="D44" s="1"/>
      <c r="E44" s="1"/>
    </row>
    <row r="45" spans="1:5" x14ac:dyDescent="0.25">
      <c r="D45" s="1"/>
      <c r="E45" s="26"/>
    </row>
    <row r="46" spans="1:5" x14ac:dyDescent="0.25">
      <c r="A46" s="28" t="s">
        <v>25</v>
      </c>
      <c r="C46" s="38" t="s">
        <v>25</v>
      </c>
      <c r="D46" s="29"/>
    </row>
    <row r="47" spans="1:5" ht="13.5" customHeight="1" x14ac:dyDescent="0.25">
      <c r="A47" s="30" t="s">
        <v>34</v>
      </c>
      <c r="B47" s="31"/>
      <c r="C47" s="50" t="s">
        <v>32</v>
      </c>
      <c r="D47" s="29"/>
    </row>
    <row r="48" spans="1:5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29" right="0.43307086614173229" top="0.74803149606299213" bottom="0.74803149606299213" header="0.31496062992125984" footer="0.31496062992125984"/>
  <pageSetup fitToHeight="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G49"/>
  <sheetViews>
    <sheetView topLeftCell="A25" zoomScale="110" zoomScaleNormal="110" workbookViewId="0">
      <selection activeCell="C40" sqref="C40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20.710937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7269483</v>
      </c>
      <c r="D12" s="38"/>
    </row>
    <row r="13" spans="1:6" ht="13.5" customHeight="1" x14ac:dyDescent="0.25">
      <c r="A13" s="10" t="s">
        <v>3</v>
      </c>
      <c r="B13" s="6"/>
      <c r="C13" s="37">
        <v>1400337.92</v>
      </c>
    </row>
    <row r="14" spans="1:6" ht="13.5" customHeight="1" x14ac:dyDescent="0.25">
      <c r="A14" s="10" t="s">
        <v>4</v>
      </c>
      <c r="B14" s="6"/>
      <c r="C14" s="37">
        <v>5982336.7599999998</v>
      </c>
    </row>
    <row r="15" spans="1:6" ht="13.5" customHeight="1" x14ac:dyDescent="0.25">
      <c r="A15" s="10" t="s">
        <v>5</v>
      </c>
      <c r="B15" s="6"/>
      <c r="C15" s="38">
        <v>0</v>
      </c>
      <c r="E15" s="26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14652157.68</v>
      </c>
      <c r="D16" s="38"/>
    </row>
    <row r="17" spans="1:7" ht="13.5" customHeight="1" thickTop="1" x14ac:dyDescent="0.25">
      <c r="A17" s="13"/>
      <c r="B17" s="6"/>
      <c r="C17" s="40"/>
      <c r="E17" s="32"/>
      <c r="F17" s="26"/>
    </row>
    <row r="18" spans="1:7" ht="13.5" customHeight="1" x14ac:dyDescent="0.25">
      <c r="A18" s="11" t="s">
        <v>7</v>
      </c>
      <c r="B18" s="6"/>
      <c r="C18" s="41"/>
      <c r="E18" s="32"/>
      <c r="F18" s="26"/>
    </row>
    <row r="19" spans="1:7" ht="13.5" customHeight="1" x14ac:dyDescent="0.25">
      <c r="A19" s="10" t="s">
        <v>8</v>
      </c>
      <c r="B19" s="6"/>
      <c r="C19" s="42">
        <f>73888542.98-138556.8</f>
        <v>73749986.180000007</v>
      </c>
      <c r="D19" s="1"/>
      <c r="E19" s="55"/>
      <c r="F19" s="52"/>
      <c r="G19" s="26"/>
    </row>
    <row r="20" spans="1:7" ht="13.5" customHeight="1" x14ac:dyDescent="0.25">
      <c r="A20" s="10" t="s">
        <v>9</v>
      </c>
      <c r="B20" s="6"/>
      <c r="C20" s="42">
        <v>8877166.6799999997</v>
      </c>
      <c r="D20" s="26"/>
      <c r="E20" s="56"/>
      <c r="F20" s="34"/>
      <c r="G20" s="26"/>
    </row>
    <row r="21" spans="1:7" ht="21" customHeight="1" thickBot="1" x14ac:dyDescent="0.3">
      <c r="A21" s="11" t="s">
        <v>10</v>
      </c>
      <c r="B21" s="6"/>
      <c r="C21" s="58">
        <f>SUM(C19:C20)</f>
        <v>82627152.860000014</v>
      </c>
      <c r="D21" s="1"/>
      <c r="E21" s="32"/>
    </row>
    <row r="22" spans="1:7" ht="13.5" customHeight="1" thickTop="1" x14ac:dyDescent="0.25">
      <c r="A22" s="13"/>
      <c r="B22" s="6"/>
      <c r="C22" s="43"/>
      <c r="D22" s="38"/>
      <c r="E22" s="32"/>
      <c r="F22" s="26"/>
    </row>
    <row r="23" spans="1:7" ht="13.5" customHeight="1" x14ac:dyDescent="0.25">
      <c r="A23" s="17" t="s">
        <v>11</v>
      </c>
      <c r="B23" s="6"/>
      <c r="C23" s="43"/>
      <c r="E23" s="56"/>
    </row>
    <row r="24" spans="1:7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7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7" ht="19.5" customHeight="1" thickBot="1" x14ac:dyDescent="0.3">
      <c r="A26" s="18" t="s">
        <v>14</v>
      </c>
      <c r="B26" s="6"/>
      <c r="C26" s="19">
        <f>C16+C21+C25</f>
        <v>97417867.340000018</v>
      </c>
      <c r="D26" s="1"/>
      <c r="E26" s="32"/>
    </row>
    <row r="27" spans="1:7" ht="13.5" customHeight="1" thickTop="1" x14ac:dyDescent="0.25">
      <c r="A27" s="17"/>
      <c r="B27" s="6"/>
      <c r="C27" s="44"/>
      <c r="E27" s="32"/>
    </row>
    <row r="28" spans="1:7" ht="13.5" customHeight="1" x14ac:dyDescent="0.25">
      <c r="A28" s="17" t="s">
        <v>15</v>
      </c>
      <c r="B28" s="6"/>
      <c r="C28" s="40"/>
      <c r="E28" s="34"/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v>4661331</v>
      </c>
      <c r="D30" s="26"/>
      <c r="E30" s="26"/>
    </row>
    <row r="31" spans="1:7" ht="13.5" customHeight="1" x14ac:dyDescent="0.25">
      <c r="A31" s="17" t="s">
        <v>18</v>
      </c>
      <c r="B31" s="6"/>
      <c r="C31" s="47">
        <f>SUM(C30)</f>
        <v>4661331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</row>
    <row r="39" spans="1:5" ht="13.5" customHeight="1" x14ac:dyDescent="0.25">
      <c r="A39" s="13" t="s">
        <v>24</v>
      </c>
      <c r="B39" s="6"/>
      <c r="C39" s="41">
        <v>24816357</v>
      </c>
      <c r="D39" s="26"/>
      <c r="E39" s="38"/>
    </row>
    <row r="40" spans="1:5" ht="13.5" customHeight="1" x14ac:dyDescent="0.25">
      <c r="A40" s="13" t="s">
        <v>21</v>
      </c>
      <c r="B40" s="6"/>
      <c r="C40" s="37">
        <v>2641199</v>
      </c>
      <c r="D40" s="26"/>
      <c r="E40" s="26"/>
    </row>
    <row r="41" spans="1:5" ht="13.5" customHeight="1" x14ac:dyDescent="0.25">
      <c r="A41" s="17" t="s">
        <v>22</v>
      </c>
      <c r="B41" s="6"/>
      <c r="C41" s="48">
        <f>+C38+C39+C40</f>
        <v>92756536.340000004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97417867.340000004</v>
      </c>
      <c r="D43" s="53" t="s">
        <v>36</v>
      </c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6:G49"/>
  <sheetViews>
    <sheetView topLeftCell="A7" zoomScaleNormal="100" workbookViewId="0">
      <selection activeCell="E23" sqref="E23:E24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f>15514249.98+673699.5</f>
        <v>16187949.48</v>
      </c>
      <c r="D12" s="38"/>
    </row>
    <row r="13" spans="1:6" ht="13.5" customHeight="1" x14ac:dyDescent="0.25">
      <c r="A13" s="10" t="s">
        <v>3</v>
      </c>
      <c r="B13" s="6"/>
      <c r="C13" s="37">
        <v>2190248.48</v>
      </c>
      <c r="D13" s="59">
        <v>1400337.92</v>
      </c>
      <c r="E13" s="56">
        <f>D13-C13</f>
        <v>-789910.56</v>
      </c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18378197.960000001</v>
      </c>
      <c r="D16" s="32"/>
      <c r="E16" s="32"/>
    </row>
    <row r="17" spans="1:7" ht="13.5" customHeight="1" thickTop="1" x14ac:dyDescent="0.25">
      <c r="A17" s="13"/>
      <c r="B17" s="6"/>
      <c r="C17" s="40"/>
      <c r="D17" s="32"/>
      <c r="E17" s="32"/>
      <c r="F17" s="26"/>
    </row>
    <row r="18" spans="1:7" ht="13.5" customHeight="1" x14ac:dyDescent="0.25">
      <c r="A18" s="11" t="s">
        <v>7</v>
      </c>
      <c r="B18" s="6"/>
      <c r="C18" s="41"/>
      <c r="D18" s="32"/>
      <c r="E18" s="32"/>
      <c r="F18" s="26"/>
    </row>
    <row r="19" spans="1:7" ht="13.5" customHeight="1" x14ac:dyDescent="0.25">
      <c r="A19" s="10" t="s">
        <v>8</v>
      </c>
      <c r="B19" s="6"/>
      <c r="C19" s="42">
        <f>82775049.99-8877166.68-138556.75</f>
        <v>73759326.560000002</v>
      </c>
      <c r="D19" s="1"/>
      <c r="E19" s="55"/>
      <c r="F19" s="52"/>
      <c r="G19" s="26"/>
    </row>
    <row r="20" spans="1:7" ht="13.5" customHeight="1" x14ac:dyDescent="0.25">
      <c r="A20" s="10" t="s">
        <v>9</v>
      </c>
      <c r="B20" s="6"/>
      <c r="C20" s="42">
        <v>8877166.6799999997</v>
      </c>
      <c r="D20" s="26"/>
      <c r="E20" s="56"/>
      <c r="F20" s="34"/>
      <c r="G20" s="26"/>
    </row>
    <row r="21" spans="1:7" ht="21" customHeight="1" thickBot="1" x14ac:dyDescent="0.3">
      <c r="A21" s="11" t="s">
        <v>10</v>
      </c>
      <c r="B21" s="6"/>
      <c r="C21" s="58">
        <f>SUM(C19:C20)</f>
        <v>82636493.24000001</v>
      </c>
      <c r="D21" s="1"/>
      <c r="E21" s="32"/>
    </row>
    <row r="22" spans="1:7" ht="13.5" customHeight="1" thickTop="1" x14ac:dyDescent="0.25">
      <c r="A22" s="13"/>
      <c r="B22" s="6"/>
      <c r="C22" s="43"/>
      <c r="D22" s="38"/>
      <c r="E22" s="32"/>
      <c r="F22" s="26"/>
    </row>
    <row r="23" spans="1:7" ht="13.5" customHeight="1" x14ac:dyDescent="0.25">
      <c r="A23" s="17" t="s">
        <v>11</v>
      </c>
      <c r="B23" s="6"/>
      <c r="C23" s="43"/>
      <c r="E23" s="56"/>
    </row>
    <row r="24" spans="1:7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7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7" ht="19.5" customHeight="1" thickBot="1" x14ac:dyDescent="0.3">
      <c r="A26" s="18" t="s">
        <v>14</v>
      </c>
      <c r="B26" s="6"/>
      <c r="C26" s="19">
        <f>C16+C21+C25</f>
        <v>101153248.00000001</v>
      </c>
      <c r="D26" s="1"/>
      <c r="E26" s="32"/>
    </row>
    <row r="27" spans="1:7" ht="13.5" customHeight="1" thickTop="1" x14ac:dyDescent="0.25">
      <c r="A27" s="17"/>
      <c r="B27" s="6"/>
      <c r="C27" s="44"/>
      <c r="E27" s="32"/>
    </row>
    <row r="28" spans="1:7" ht="13.5" customHeight="1" x14ac:dyDescent="0.25">
      <c r="A28" s="17" t="s">
        <v>15</v>
      </c>
      <c r="B28" s="6"/>
      <c r="C28" s="40"/>
      <c r="E28" s="34"/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v>4584268.22</v>
      </c>
      <c r="D30" s="26"/>
      <c r="E30" s="26"/>
    </row>
    <row r="31" spans="1:7" ht="13.5" customHeight="1" x14ac:dyDescent="0.25">
      <c r="A31" s="17" t="s">
        <v>18</v>
      </c>
      <c r="B31" s="6"/>
      <c r="C31" s="47">
        <f>SUM(C30)</f>
        <v>4584268.22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>
        <v>20597691.359999999</v>
      </c>
    </row>
    <row r="39" spans="1:5" ht="13.5" customHeight="1" x14ac:dyDescent="0.25">
      <c r="A39" s="13" t="s">
        <v>24</v>
      </c>
      <c r="B39" s="6"/>
      <c r="C39" s="41">
        <f>27457556-1665498.56</f>
        <v>25792057.440000001</v>
      </c>
      <c r="D39" s="26"/>
      <c r="E39" s="38">
        <v>4758687.25</v>
      </c>
    </row>
    <row r="40" spans="1:5" ht="13.5" customHeight="1" x14ac:dyDescent="0.25">
      <c r="A40" s="13" t="s">
        <v>21</v>
      </c>
      <c r="B40" s="6"/>
      <c r="C40" s="37">
        <v>5477942</v>
      </c>
      <c r="D40" s="26"/>
      <c r="E40" s="41">
        <v>395678.46</v>
      </c>
    </row>
    <row r="41" spans="1:5" ht="13.5" customHeight="1" x14ac:dyDescent="0.25">
      <c r="A41" s="17" t="s">
        <v>22</v>
      </c>
      <c r="B41" s="6"/>
      <c r="C41" s="48">
        <f>+C38+C39+C40</f>
        <v>96568979.780000001</v>
      </c>
      <c r="D41" s="26"/>
      <c r="E41" s="26">
        <f>SUM(E38:E40)</f>
        <v>25752057.07</v>
      </c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101153248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H49"/>
  <sheetViews>
    <sheetView topLeftCell="A7" zoomScaleNormal="100" workbookViewId="0">
      <selection activeCell="E20" sqref="E20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22815829.260000002</v>
      </c>
      <c r="D12" s="38"/>
    </row>
    <row r="13" spans="1:6" ht="13.5" customHeight="1" x14ac:dyDescent="0.25">
      <c r="A13" s="10" t="s">
        <v>3</v>
      </c>
      <c r="B13" s="6"/>
      <c r="C13" s="37">
        <v>1400337.92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24216167.18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82911539.57-8977466.68-138556.8+0.66</f>
        <v>73795516.749999985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8977466.6799999997</v>
      </c>
      <c r="D20" s="26"/>
      <c r="E20" s="56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82772983.429999977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107127707.40999998</v>
      </c>
      <c r="D26" s="1"/>
      <c r="E26" s="32">
        <f>C26-107127707</f>
        <v>0.40999998152256012</v>
      </c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2271637.63</v>
      </c>
      <c r="D30" s="26">
        <v>2441638</v>
      </c>
      <c r="E30" s="26">
        <f>D30-C30</f>
        <v>170000.37000000011</v>
      </c>
    </row>
    <row r="31" spans="1:8" ht="13.5" customHeight="1" x14ac:dyDescent="0.25">
      <c r="A31" s="17" t="s">
        <v>18</v>
      </c>
      <c r="B31" s="6"/>
      <c r="C31" s="47">
        <f>SUM(C30)</f>
        <v>2271637.63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f>27457556-1665498.56</f>
        <v>25792057.440000001</v>
      </c>
      <c r="D39" s="26"/>
      <c r="E39" s="38"/>
    </row>
    <row r="40" spans="1:5" ht="13.5" customHeight="1" x14ac:dyDescent="0.25">
      <c r="A40" s="13" t="s">
        <v>21</v>
      </c>
      <c r="B40" s="6"/>
      <c r="C40" s="37">
        <v>13765032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104856069.78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107127707.41</v>
      </c>
      <c r="D43" s="53">
        <f>C43-C26</f>
        <v>0</v>
      </c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H49"/>
  <sheetViews>
    <sheetView topLeftCell="A25" zoomScaleNormal="100" workbookViewId="0">
      <selection activeCell="G37" sqref="G37:G38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27399941.109999999</v>
      </c>
      <c r="D12" s="38"/>
    </row>
    <row r="13" spans="1:6" ht="13.5" customHeight="1" x14ac:dyDescent="0.25">
      <c r="A13" s="10" t="s">
        <v>3</v>
      </c>
      <c r="B13" s="6"/>
      <c r="C13" s="37">
        <v>1400337.92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28800279.030000001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73922418.6-138556.8</f>
        <v>73783861.799999997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8977466.6799999997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82761328.479999989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111700164.30999999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3136574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3136574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v>26973612.969999999</v>
      </c>
      <c r="D39" s="26"/>
      <c r="E39" s="38"/>
    </row>
    <row r="40" spans="1:5" ht="13.5" customHeight="1" x14ac:dyDescent="0.25">
      <c r="A40" s="13" t="s">
        <v>21</v>
      </c>
      <c r="B40" s="6"/>
      <c r="C40" s="37">
        <v>16290997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108563590.31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111700164.31</v>
      </c>
      <c r="D43" s="53"/>
      <c r="E43" s="54">
        <v>111700164</v>
      </c>
    </row>
    <row r="44" spans="1:5" ht="16.5" customHeight="1" thickTop="1" x14ac:dyDescent="0.25">
      <c r="A44" s="18"/>
      <c r="B44" s="6"/>
      <c r="C44" s="47"/>
      <c r="D44" s="1"/>
      <c r="E44" s="1">
        <v>99113629</v>
      </c>
    </row>
    <row r="45" spans="1:5" ht="16.5" customHeight="1" x14ac:dyDescent="0.25">
      <c r="A45" s="18"/>
      <c r="B45" s="6"/>
      <c r="C45" s="47"/>
      <c r="D45" s="1"/>
      <c r="E45" s="1">
        <f>E43-E44</f>
        <v>12586535</v>
      </c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6:H49"/>
  <sheetViews>
    <sheetView topLeftCell="A16" zoomScaleNormal="100" workbookViewId="0">
      <selection activeCell="C27" sqref="C27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26154986.530000001</v>
      </c>
      <c r="D12" s="38"/>
    </row>
    <row r="13" spans="1:6" ht="13.5" customHeight="1" x14ac:dyDescent="0.25">
      <c r="A13" s="10" t="s">
        <v>3</v>
      </c>
      <c r="B13" s="6"/>
      <c r="C13" s="37">
        <v>1400337.92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27555324.450000003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v>77191531.370000005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8977466.6799999997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86168998.050000012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113862879.30000001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3325337.16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3325337.16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v>28713831.239999998</v>
      </c>
      <c r="D39" s="26"/>
      <c r="E39" s="38"/>
    </row>
    <row r="40" spans="1:5" ht="13.5" customHeight="1" x14ac:dyDescent="0.25">
      <c r="A40" s="13" t="s">
        <v>21</v>
      </c>
      <c r="B40" s="6"/>
      <c r="C40" s="37">
        <v>16524730.560000001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110537542.14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>
        <f>C43-C26</f>
        <v>0</v>
      </c>
    </row>
    <row r="43" spans="1:5" ht="16.5" customHeight="1" thickBot="1" x14ac:dyDescent="0.3">
      <c r="A43" s="18" t="s">
        <v>23</v>
      </c>
      <c r="B43" s="6"/>
      <c r="C43" s="19">
        <f>+C31+C41</f>
        <v>113862879.3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H49"/>
  <sheetViews>
    <sheetView topLeftCell="A7" zoomScaleNormal="100" workbookViewId="0">
      <selection activeCell="F35" sqref="F35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29987358.489999998</v>
      </c>
      <c r="D12" s="38"/>
    </row>
    <row r="13" spans="1:6" ht="13.5" customHeight="1" x14ac:dyDescent="0.25">
      <c r="A13" s="10" t="s">
        <v>3</v>
      </c>
      <c r="B13" s="6"/>
      <c r="C13" s="37">
        <v>1593366.44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31580724.93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73119237.38-0.34</f>
        <v>73119237.039999992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9167446.6799999997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82286683.719999999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114005965.45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2088753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2088753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f>23385912.86+395678.32+14986</f>
        <v>23796577.18</v>
      </c>
      <c r="D39" s="26"/>
      <c r="E39" s="32"/>
    </row>
    <row r="40" spans="1:5" ht="13.5" customHeight="1" x14ac:dyDescent="0.25">
      <c r="A40" s="13" t="s">
        <v>21</v>
      </c>
      <c r="B40" s="6"/>
      <c r="C40" s="37">
        <v>22821654.93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111917212.45000002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114005965.45000002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6:H49"/>
  <sheetViews>
    <sheetView topLeftCell="A4" zoomScaleNormal="100" workbookViewId="0">
      <selection activeCell="D43" sqref="D4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22888167</v>
      </c>
      <c r="D12" s="38"/>
    </row>
    <row r="13" spans="1:6" ht="13.5" customHeight="1" x14ac:dyDescent="0.25">
      <c r="A13" s="10" t="s">
        <v>3</v>
      </c>
      <c r="B13" s="6"/>
      <c r="C13" s="37">
        <v>1780620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24668787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74736945.32+2933576.2-240887</f>
        <v>77429634.519999996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9167446.6799999997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86597081.199999988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111404424.99999999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3107385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3107385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f>23385912.86+395678.32+14986</f>
        <v>23796577.18</v>
      </c>
      <c r="D39" s="26"/>
      <c r="E39" s="32"/>
    </row>
    <row r="40" spans="1:5" ht="13.5" customHeight="1" x14ac:dyDescent="0.25">
      <c r="A40" s="13" t="s">
        <v>21</v>
      </c>
      <c r="B40" s="6"/>
      <c r="C40" s="37">
        <f>16984442+2579570.48-362530</f>
        <v>19201482.48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108297040.00000001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111404425.00000001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6:H49"/>
  <sheetViews>
    <sheetView topLeftCell="A28" zoomScaleNormal="100" workbookViewId="0">
      <selection activeCell="D43" sqref="D4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25921391.34</v>
      </c>
      <c r="D12" s="38"/>
    </row>
    <row r="13" spans="1:6" ht="13.5" customHeight="1" x14ac:dyDescent="0.25">
      <c r="A13" s="10" t="s">
        <v>3</v>
      </c>
      <c r="B13" s="6"/>
      <c r="C13" s="37">
        <v>1994592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27915983.34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77350604.23-138556.81</f>
        <v>77212047.420000002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10547474.380000001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87759521.799999997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115814061.94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3466739.57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3466739.57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v>26376147</v>
      </c>
      <c r="D39" s="26"/>
      <c r="E39" s="32"/>
    </row>
    <row r="40" spans="1:5" ht="13.5" customHeight="1" x14ac:dyDescent="0.25">
      <c r="A40" s="13" t="s">
        <v>21</v>
      </c>
      <c r="B40" s="6"/>
      <c r="C40" s="37">
        <f>20652653+19542.03</f>
        <v>20672195.030000001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112347322.37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115814061.94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6:H49"/>
  <sheetViews>
    <sheetView topLeftCell="A16" zoomScaleNormal="100" workbookViewId="0">
      <selection activeCell="D43" sqref="D4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25712424</v>
      </c>
      <c r="D12" s="38"/>
    </row>
    <row r="13" spans="1:6" ht="13.5" customHeight="1" x14ac:dyDescent="0.25">
      <c r="A13" s="10" t="s">
        <v>3</v>
      </c>
      <c r="B13" s="6"/>
      <c r="C13" s="37">
        <v>1994592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27707016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77350604.23-138557.41</f>
        <v>77212046.820000008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10547474.380000001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87759521.200000003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115605094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4516230.05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4516230.05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v>26376147</v>
      </c>
      <c r="D39" s="26"/>
      <c r="E39" s="32"/>
    </row>
    <row r="40" spans="1:5" ht="13.5" customHeight="1" x14ac:dyDescent="0.25">
      <c r="A40" s="13" t="s">
        <v>21</v>
      </c>
      <c r="B40" s="6"/>
      <c r="C40" s="37">
        <v>19413736.609999999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111088863.95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115605094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H49"/>
  <sheetViews>
    <sheetView topLeftCell="A4" zoomScaleNormal="100" workbookViewId="0">
      <selection activeCell="A14" sqref="A14:C14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3787342.99</v>
      </c>
      <c r="D12" s="38"/>
    </row>
    <row r="13" spans="1:6" ht="13.5" customHeight="1" x14ac:dyDescent="0.25">
      <c r="A13" s="10" t="s">
        <v>3</v>
      </c>
      <c r="B13" s="6"/>
      <c r="C13" s="37">
        <v>2009471.78</v>
      </c>
      <c r="D13" s="59"/>
      <c r="E13" s="56"/>
    </row>
    <row r="14" spans="1:6" ht="13.5" customHeight="1" x14ac:dyDescent="0.25">
      <c r="A14" s="10" t="s">
        <v>4</v>
      </c>
      <c r="B14" s="6"/>
      <c r="C14" s="37">
        <v>19798456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25595270.77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76868830.93-138557</f>
        <v>76730273.930000007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10551074.380000001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87281348.310000002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138557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138557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113015176.08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2867793.72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2867793.72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f>19413736.61+6020928.8</f>
        <v>25434665.41</v>
      </c>
      <c r="D39" s="26"/>
      <c r="E39" s="32"/>
    </row>
    <row r="40" spans="1:5" ht="13.5" customHeight="1" x14ac:dyDescent="0.25">
      <c r="A40" s="13" t="s">
        <v>21</v>
      </c>
      <c r="B40" s="6"/>
      <c r="C40" s="37">
        <v>19413736.609999999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110147382.36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113015176.08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H48"/>
  <sheetViews>
    <sheetView topLeftCell="A26" zoomScaleNormal="100" workbookViewId="0">
      <selection activeCell="C38" sqref="C38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7" x14ac:dyDescent="0.25">
      <c r="A6" s="6"/>
      <c r="B6" s="6"/>
      <c r="C6" s="35"/>
    </row>
    <row r="7" spans="1:7" x14ac:dyDescent="0.25">
      <c r="A7" s="6"/>
      <c r="B7" s="6"/>
      <c r="C7" s="35"/>
    </row>
    <row r="8" spans="1:7" x14ac:dyDescent="0.25">
      <c r="A8" s="6"/>
      <c r="B8" s="6"/>
      <c r="C8" s="35"/>
    </row>
    <row r="9" spans="1:7" ht="13.5" customHeight="1" x14ac:dyDescent="0.25">
      <c r="A9" s="6"/>
      <c r="B9" s="6"/>
      <c r="C9" s="35"/>
    </row>
    <row r="10" spans="1:7" ht="13.5" customHeight="1" x14ac:dyDescent="0.25">
      <c r="A10" s="7" t="s">
        <v>0</v>
      </c>
      <c r="B10" s="6"/>
      <c r="C10" s="35"/>
    </row>
    <row r="11" spans="1:7" ht="13.5" customHeight="1" x14ac:dyDescent="0.25">
      <c r="A11" s="8" t="s">
        <v>1</v>
      </c>
      <c r="B11" s="6"/>
      <c r="C11" s="36"/>
    </row>
    <row r="12" spans="1:7" ht="13.5" customHeight="1" x14ac:dyDescent="0.25">
      <c r="A12" s="10" t="s">
        <v>2</v>
      </c>
      <c r="B12" s="6"/>
      <c r="C12" s="37">
        <v>27625301</v>
      </c>
      <c r="D12" s="38"/>
    </row>
    <row r="13" spans="1:7" ht="13.5" customHeight="1" x14ac:dyDescent="0.25">
      <c r="A13" s="10" t="s">
        <v>3</v>
      </c>
      <c r="B13" s="6"/>
      <c r="C13" s="37">
        <v>1400338</v>
      </c>
      <c r="D13" s="59"/>
      <c r="E13" s="56"/>
    </row>
    <row r="14" spans="1:7" ht="13.5" customHeight="1" x14ac:dyDescent="0.25">
      <c r="A14" s="10" t="s">
        <v>5</v>
      </c>
      <c r="B14" s="6"/>
      <c r="C14" s="38">
        <v>0</v>
      </c>
      <c r="D14" s="32"/>
      <c r="E14" s="32"/>
      <c r="F14" s="26"/>
    </row>
    <row r="15" spans="1:7" ht="17.25" customHeight="1" thickBot="1" x14ac:dyDescent="0.3">
      <c r="A15" s="11" t="s">
        <v>6</v>
      </c>
      <c r="B15" s="6"/>
      <c r="C15" s="58">
        <f>SUM(C12:C14)</f>
        <v>29025639</v>
      </c>
      <c r="D15" s="32"/>
      <c r="E15" s="32"/>
    </row>
    <row r="16" spans="1:7" ht="13.5" customHeight="1" thickTop="1" x14ac:dyDescent="0.25">
      <c r="A16" s="13"/>
      <c r="B16" s="6"/>
      <c r="C16" s="40"/>
      <c r="D16" s="32"/>
      <c r="E16" s="32"/>
      <c r="F16" s="26"/>
      <c r="G16" s="32"/>
    </row>
    <row r="17" spans="1:8" ht="13.5" customHeight="1" x14ac:dyDescent="0.25">
      <c r="A17" s="11" t="s">
        <v>7</v>
      </c>
      <c r="B17" s="6"/>
      <c r="C17" s="41"/>
      <c r="D17" s="32"/>
      <c r="E17" s="32"/>
      <c r="F17" s="26"/>
    </row>
    <row r="18" spans="1:8" ht="13.5" customHeight="1" x14ac:dyDescent="0.25">
      <c r="A18" s="10" t="s">
        <v>8</v>
      </c>
      <c r="B18" s="6"/>
      <c r="C18" s="42">
        <v>78673817</v>
      </c>
      <c r="D18" s="1"/>
      <c r="E18" s="55"/>
      <c r="F18" s="52"/>
      <c r="G18" s="26"/>
      <c r="H18" s="26"/>
    </row>
    <row r="19" spans="1:8" ht="13.5" customHeight="1" x14ac:dyDescent="0.25">
      <c r="A19" s="10" t="s">
        <v>9</v>
      </c>
      <c r="B19" s="6"/>
      <c r="C19" s="42">
        <v>4357118</v>
      </c>
      <c r="D19" s="26"/>
      <c r="E19" s="55"/>
      <c r="F19" s="34"/>
      <c r="G19" s="26"/>
    </row>
    <row r="20" spans="1:8" ht="21" customHeight="1" thickBot="1" x14ac:dyDescent="0.3">
      <c r="A20" s="11" t="s">
        <v>10</v>
      </c>
      <c r="B20" s="6"/>
      <c r="C20" s="58">
        <f>SUM(C18:C19)</f>
        <v>83030935</v>
      </c>
      <c r="D20" s="1"/>
      <c r="E20" s="32"/>
      <c r="G20" s="26"/>
    </row>
    <row r="21" spans="1:8" ht="13.5" customHeight="1" thickTop="1" x14ac:dyDescent="0.25">
      <c r="A21" s="13"/>
      <c r="B21" s="6"/>
      <c r="C21" s="43"/>
      <c r="D21" s="38"/>
      <c r="E21" s="32"/>
      <c r="F21" s="26"/>
    </row>
    <row r="22" spans="1:8" ht="13.5" customHeight="1" x14ac:dyDescent="0.25">
      <c r="A22" s="17" t="s">
        <v>11</v>
      </c>
      <c r="B22" s="6"/>
      <c r="C22" s="43"/>
      <c r="E22" s="56"/>
    </row>
    <row r="23" spans="1:8" ht="13.5" customHeight="1" x14ac:dyDescent="0.25">
      <c r="A23" s="13" t="s">
        <v>12</v>
      </c>
      <c r="B23" s="6"/>
      <c r="C23" s="43">
        <v>138557</v>
      </c>
      <c r="D23" s="38"/>
      <c r="E23" s="32"/>
      <c r="F23" s="26"/>
    </row>
    <row r="24" spans="1:8" ht="15" customHeight="1" x14ac:dyDescent="0.25">
      <c r="A24" s="17" t="s">
        <v>13</v>
      </c>
      <c r="B24" s="6"/>
      <c r="C24" s="39">
        <f>C23</f>
        <v>138557</v>
      </c>
      <c r="E24" s="32"/>
    </row>
    <row r="25" spans="1:8" ht="19.5" customHeight="1" thickBot="1" x14ac:dyDescent="0.3">
      <c r="A25" s="18" t="s">
        <v>14</v>
      </c>
      <c r="B25" s="6"/>
      <c r="C25" s="19">
        <f>C15+C20+C24</f>
        <v>112195131</v>
      </c>
      <c r="D25" s="1"/>
      <c r="E25" s="32"/>
    </row>
    <row r="26" spans="1:8" ht="13.5" customHeight="1" thickTop="1" x14ac:dyDescent="0.25">
      <c r="A26" s="17"/>
      <c r="B26" s="6"/>
      <c r="C26" s="44"/>
      <c r="E26" s="32"/>
    </row>
    <row r="27" spans="1:8" ht="13.5" customHeight="1" x14ac:dyDescent="0.25">
      <c r="A27" s="17" t="s">
        <v>15</v>
      </c>
      <c r="B27" s="6"/>
      <c r="C27" s="40"/>
      <c r="E27" s="34"/>
    </row>
    <row r="28" spans="1:8" ht="13.5" customHeight="1" x14ac:dyDescent="0.25">
      <c r="A28" s="17" t="s">
        <v>16</v>
      </c>
      <c r="B28" s="6"/>
      <c r="C28" s="45"/>
    </row>
    <row r="29" spans="1:8" ht="13.5" customHeight="1" x14ac:dyDescent="0.25">
      <c r="A29" s="13" t="s">
        <v>17</v>
      </c>
      <c r="B29" s="6"/>
      <c r="C29" s="46">
        <v>3398175</v>
      </c>
      <c r="D29" s="26"/>
      <c r="E29" s="26"/>
    </row>
    <row r="30" spans="1:8" ht="13.5" customHeight="1" x14ac:dyDescent="0.25">
      <c r="A30" s="17" t="s">
        <v>18</v>
      </c>
      <c r="B30" s="6"/>
      <c r="C30" s="47">
        <f>SUM(C29)</f>
        <v>3398175</v>
      </c>
    </row>
    <row r="31" spans="1:8" ht="13.5" customHeight="1" x14ac:dyDescent="0.25">
      <c r="A31" s="17"/>
      <c r="B31" s="6"/>
      <c r="C31" s="44"/>
    </row>
    <row r="32" spans="1:8" ht="13.5" customHeight="1" x14ac:dyDescent="0.25">
      <c r="A32" s="17" t="s">
        <v>30</v>
      </c>
      <c r="B32" s="6"/>
      <c r="C32" s="45"/>
    </row>
    <row r="33" spans="1:5" ht="13.5" customHeight="1" x14ac:dyDescent="0.25">
      <c r="A33" s="13" t="s">
        <v>31</v>
      </c>
      <c r="B33" s="6"/>
      <c r="C33" s="51">
        <v>0</v>
      </c>
    </row>
    <row r="34" spans="1:5" ht="13.5" customHeight="1" x14ac:dyDescent="0.25">
      <c r="A34" s="17" t="s">
        <v>18</v>
      </c>
      <c r="B34" s="6"/>
      <c r="C34" s="38">
        <v>0</v>
      </c>
    </row>
    <row r="35" spans="1:5" ht="13.5" customHeight="1" x14ac:dyDescent="0.25">
      <c r="A35" s="17"/>
      <c r="B35" s="6"/>
      <c r="C35" s="47"/>
      <c r="E35" s="32"/>
    </row>
    <row r="36" spans="1:5" ht="13.5" customHeight="1" x14ac:dyDescent="0.25">
      <c r="A36" s="17" t="s">
        <v>19</v>
      </c>
      <c r="B36" s="6"/>
      <c r="C36" s="41"/>
      <c r="D36" s="26"/>
      <c r="E36" s="32"/>
    </row>
    <row r="37" spans="1:5" ht="13.5" customHeight="1" x14ac:dyDescent="0.25">
      <c r="A37" s="13" t="s">
        <v>20</v>
      </c>
      <c r="B37" s="6"/>
      <c r="C37" s="41">
        <v>65298980.340000004</v>
      </c>
      <c r="D37" s="26"/>
      <c r="E37" s="32"/>
    </row>
    <row r="38" spans="1:5" ht="13.5" customHeight="1" x14ac:dyDescent="0.25">
      <c r="A38" s="13" t="s">
        <v>24</v>
      </c>
      <c r="B38" s="6"/>
      <c r="C38" s="41">
        <f>23932755.4-659071.95</f>
        <v>23273683.449999999</v>
      </c>
      <c r="D38" s="26"/>
      <c r="E38" s="32"/>
    </row>
    <row r="39" spans="1:5" ht="13.5" customHeight="1" x14ac:dyDescent="0.25">
      <c r="A39" s="13" t="s">
        <v>21</v>
      </c>
      <c r="B39" s="6"/>
      <c r="C39" s="37">
        <v>20224292.210000001</v>
      </c>
      <c r="D39" s="37"/>
      <c r="E39" s="41"/>
    </row>
    <row r="40" spans="1:5" ht="13.5" customHeight="1" x14ac:dyDescent="0.25">
      <c r="A40" s="17" t="s">
        <v>22</v>
      </c>
      <c r="B40" s="6"/>
      <c r="C40" s="48">
        <f>+C37+C38+C39</f>
        <v>108796956</v>
      </c>
      <c r="D40" s="26"/>
      <c r="E40" s="26"/>
    </row>
    <row r="41" spans="1:5" ht="13.5" customHeight="1" x14ac:dyDescent="0.25">
      <c r="A41" s="17"/>
      <c r="B41" s="6"/>
      <c r="C41" s="49"/>
      <c r="D41" s="26"/>
      <c r="E41" s="26"/>
    </row>
    <row r="42" spans="1:5" ht="16.5" customHeight="1" thickBot="1" x14ac:dyDescent="0.3">
      <c r="A42" s="18" t="s">
        <v>23</v>
      </c>
      <c r="B42" s="6"/>
      <c r="C42" s="19">
        <f>+C30+C40</f>
        <v>112195131</v>
      </c>
      <c r="D42" s="53"/>
      <c r="E42" s="54"/>
    </row>
    <row r="43" spans="1:5" ht="16.5" customHeight="1" thickTop="1" x14ac:dyDescent="0.25">
      <c r="A43" s="18"/>
      <c r="B43" s="6"/>
      <c r="C43" s="47"/>
      <c r="D43" s="1"/>
      <c r="E43" s="1"/>
    </row>
    <row r="44" spans="1:5" ht="16.5" customHeight="1" x14ac:dyDescent="0.25">
      <c r="A44" s="18"/>
      <c r="B44" s="6"/>
      <c r="C44" s="47"/>
      <c r="D44" s="1"/>
      <c r="E44" s="1"/>
    </row>
    <row r="45" spans="1:5" x14ac:dyDescent="0.25">
      <c r="D45" s="1"/>
      <c r="E45" s="26"/>
    </row>
    <row r="46" spans="1:5" x14ac:dyDescent="0.25">
      <c r="A46" s="28" t="s">
        <v>25</v>
      </c>
      <c r="C46" s="38" t="s">
        <v>25</v>
      </c>
      <c r="D46" s="29"/>
    </row>
    <row r="47" spans="1:5" ht="13.5" customHeight="1" x14ac:dyDescent="0.25">
      <c r="A47" s="30" t="s">
        <v>34</v>
      </c>
      <c r="B47" s="31"/>
      <c r="C47" s="50" t="s">
        <v>32</v>
      </c>
      <c r="D47" s="29"/>
    </row>
    <row r="48" spans="1:5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6:H48"/>
  <sheetViews>
    <sheetView topLeftCell="A28" zoomScaleNormal="100" workbookViewId="0">
      <selection activeCell="G46" sqref="G46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7" x14ac:dyDescent="0.25">
      <c r="A6" s="6"/>
      <c r="B6" s="6"/>
      <c r="C6" s="35"/>
    </row>
    <row r="7" spans="1:7" x14ac:dyDescent="0.25">
      <c r="A7" s="6"/>
      <c r="B7" s="6"/>
      <c r="C7" s="35"/>
    </row>
    <row r="8" spans="1:7" x14ac:dyDescent="0.25">
      <c r="A8" s="6"/>
      <c r="B8" s="6"/>
      <c r="C8" s="35"/>
    </row>
    <row r="9" spans="1:7" ht="13.5" customHeight="1" x14ac:dyDescent="0.25">
      <c r="A9" s="6"/>
      <c r="B9" s="6"/>
      <c r="C9" s="35"/>
    </row>
    <row r="10" spans="1:7" ht="13.5" customHeight="1" x14ac:dyDescent="0.25">
      <c r="A10" s="7" t="s">
        <v>0</v>
      </c>
      <c r="B10" s="6"/>
      <c r="C10" s="35"/>
    </row>
    <row r="11" spans="1:7" ht="13.5" customHeight="1" x14ac:dyDescent="0.25">
      <c r="A11" s="8" t="s">
        <v>1</v>
      </c>
      <c r="B11" s="6"/>
      <c r="C11" s="36"/>
    </row>
    <row r="12" spans="1:7" ht="13.5" customHeight="1" x14ac:dyDescent="0.25">
      <c r="A12" s="10" t="s">
        <v>2</v>
      </c>
      <c r="B12" s="6"/>
      <c r="C12" s="37">
        <v>17447103</v>
      </c>
      <c r="D12" s="38"/>
    </row>
    <row r="13" spans="1:7" ht="13.5" customHeight="1" x14ac:dyDescent="0.25">
      <c r="A13" s="10" t="s">
        <v>3</v>
      </c>
      <c r="B13" s="6"/>
      <c r="C13" s="37">
        <v>1789935</v>
      </c>
      <c r="D13" s="59"/>
      <c r="E13" s="56"/>
    </row>
    <row r="14" spans="1:7" ht="13.5" customHeight="1" x14ac:dyDescent="0.25">
      <c r="A14" s="10" t="s">
        <v>5</v>
      </c>
      <c r="B14" s="6"/>
      <c r="C14" s="38">
        <v>717090</v>
      </c>
      <c r="D14" s="32"/>
      <c r="E14" s="32"/>
      <c r="F14" s="26"/>
    </row>
    <row r="15" spans="1:7" ht="17.25" customHeight="1" thickBot="1" x14ac:dyDescent="0.3">
      <c r="A15" s="11" t="s">
        <v>6</v>
      </c>
      <c r="B15" s="6"/>
      <c r="C15" s="58">
        <f>SUM(C12:C14)</f>
        <v>19954128</v>
      </c>
      <c r="D15" s="32"/>
      <c r="E15" s="32"/>
    </row>
    <row r="16" spans="1:7" ht="13.5" customHeight="1" thickTop="1" x14ac:dyDescent="0.25">
      <c r="A16" s="13"/>
      <c r="B16" s="6"/>
      <c r="C16" s="40"/>
      <c r="D16" s="32"/>
      <c r="E16" s="32"/>
      <c r="F16" s="26"/>
      <c r="G16" s="32"/>
    </row>
    <row r="17" spans="1:8" ht="13.5" customHeight="1" x14ac:dyDescent="0.25">
      <c r="A17" s="11" t="s">
        <v>7</v>
      </c>
      <c r="B17" s="6"/>
      <c r="C17" s="41"/>
      <c r="D17" s="32"/>
      <c r="E17" s="32"/>
      <c r="F17" s="26"/>
    </row>
    <row r="18" spans="1:8" ht="13.5" customHeight="1" x14ac:dyDescent="0.25">
      <c r="A18" s="10" t="s">
        <v>8</v>
      </c>
      <c r="B18" s="6"/>
      <c r="C18" s="42">
        <v>77859809</v>
      </c>
      <c r="D18" s="1"/>
      <c r="E18" s="55"/>
      <c r="F18" s="52"/>
      <c r="G18" s="26"/>
      <c r="H18" s="26"/>
    </row>
    <row r="19" spans="1:8" ht="13.5" customHeight="1" x14ac:dyDescent="0.25">
      <c r="A19" s="10" t="s">
        <v>9</v>
      </c>
      <c r="B19" s="6"/>
      <c r="C19" s="42">
        <f>3196210</f>
        <v>3196210</v>
      </c>
      <c r="D19" s="26"/>
      <c r="E19" s="55"/>
      <c r="F19" s="34"/>
      <c r="G19" s="26"/>
    </row>
    <row r="20" spans="1:8" ht="21" customHeight="1" thickBot="1" x14ac:dyDescent="0.3">
      <c r="A20" s="11" t="s">
        <v>10</v>
      </c>
      <c r="B20" s="6"/>
      <c r="C20" s="58">
        <f>SUM(C18:C19)</f>
        <v>81056019</v>
      </c>
      <c r="D20" s="1"/>
      <c r="E20" s="32"/>
      <c r="G20" s="26"/>
    </row>
    <row r="21" spans="1:8" ht="13.5" customHeight="1" thickTop="1" x14ac:dyDescent="0.25">
      <c r="A21" s="13"/>
      <c r="B21" s="6"/>
      <c r="C21" s="43"/>
      <c r="D21" s="38"/>
      <c r="E21" s="32"/>
      <c r="F21" s="26"/>
    </row>
    <row r="22" spans="1:8" ht="13.5" customHeight="1" x14ac:dyDescent="0.25">
      <c r="A22" s="17" t="s">
        <v>11</v>
      </c>
      <c r="B22" s="6"/>
      <c r="C22" s="43"/>
      <c r="E22" s="56"/>
    </row>
    <row r="23" spans="1:8" ht="13.5" customHeight="1" x14ac:dyDescent="0.25">
      <c r="A23" s="13" t="s">
        <v>12</v>
      </c>
      <c r="B23" s="6"/>
      <c r="C23" s="43">
        <v>191557</v>
      </c>
      <c r="D23" s="38"/>
      <c r="E23" s="32"/>
      <c r="F23" s="26"/>
    </row>
    <row r="24" spans="1:8" ht="15" customHeight="1" x14ac:dyDescent="0.25">
      <c r="A24" s="17" t="s">
        <v>13</v>
      </c>
      <c r="B24" s="6"/>
      <c r="C24" s="39">
        <f>C23</f>
        <v>191557</v>
      </c>
      <c r="E24" s="32"/>
    </row>
    <row r="25" spans="1:8" ht="19.5" customHeight="1" thickBot="1" x14ac:dyDescent="0.3">
      <c r="A25" s="18" t="s">
        <v>14</v>
      </c>
      <c r="B25" s="6"/>
      <c r="C25" s="19">
        <f>C15+C20+C24</f>
        <v>101201704</v>
      </c>
      <c r="D25" s="1"/>
      <c r="E25" s="32"/>
    </row>
    <row r="26" spans="1:8" ht="13.5" customHeight="1" thickTop="1" x14ac:dyDescent="0.25">
      <c r="A26" s="17"/>
      <c r="B26" s="6"/>
      <c r="C26" s="44"/>
      <c r="E26" s="32"/>
    </row>
    <row r="27" spans="1:8" ht="13.5" customHeight="1" x14ac:dyDescent="0.25">
      <c r="A27" s="17" t="s">
        <v>15</v>
      </c>
      <c r="B27" s="6"/>
      <c r="C27" s="40"/>
      <c r="E27" s="34"/>
    </row>
    <row r="28" spans="1:8" ht="13.5" customHeight="1" x14ac:dyDescent="0.25">
      <c r="A28" s="17" t="s">
        <v>16</v>
      </c>
      <c r="B28" s="6"/>
      <c r="C28" s="45"/>
    </row>
    <row r="29" spans="1:8" ht="13.5" customHeight="1" x14ac:dyDescent="0.25">
      <c r="A29" s="13" t="s">
        <v>17</v>
      </c>
      <c r="B29" s="6"/>
      <c r="C29" s="46">
        <v>3295922</v>
      </c>
      <c r="D29" s="26"/>
      <c r="E29" s="26"/>
    </row>
    <row r="30" spans="1:8" ht="13.5" customHeight="1" x14ac:dyDescent="0.25">
      <c r="A30" s="17" t="s">
        <v>18</v>
      </c>
      <c r="B30" s="6"/>
      <c r="C30" s="47">
        <f>SUM(C29)</f>
        <v>3295922</v>
      </c>
    </row>
    <row r="31" spans="1:8" ht="13.5" customHeight="1" x14ac:dyDescent="0.25">
      <c r="A31" s="17"/>
      <c r="B31" s="6"/>
      <c r="C31" s="44"/>
    </row>
    <row r="32" spans="1:8" ht="13.5" customHeight="1" x14ac:dyDescent="0.25">
      <c r="A32" s="17" t="s">
        <v>30</v>
      </c>
      <c r="B32" s="6"/>
      <c r="C32" s="45"/>
    </row>
    <row r="33" spans="1:7" ht="13.5" customHeight="1" x14ac:dyDescent="0.25">
      <c r="A33" s="13" t="s">
        <v>31</v>
      </c>
      <c r="B33" s="6"/>
      <c r="C33" s="51">
        <v>0</v>
      </c>
    </row>
    <row r="34" spans="1:7" ht="13.5" customHeight="1" x14ac:dyDescent="0.25">
      <c r="A34" s="17" t="s">
        <v>18</v>
      </c>
      <c r="B34" s="6"/>
      <c r="C34" s="38">
        <v>0</v>
      </c>
    </row>
    <row r="35" spans="1:7" ht="13.5" customHeight="1" x14ac:dyDescent="0.25">
      <c r="A35" s="17"/>
      <c r="B35" s="6"/>
      <c r="C35" s="47"/>
      <c r="E35" s="32"/>
    </row>
    <row r="36" spans="1:7" ht="13.5" customHeight="1" x14ac:dyDescent="0.25">
      <c r="A36" s="17" t="s">
        <v>19</v>
      </c>
      <c r="B36" s="6"/>
      <c r="C36" s="41"/>
      <c r="D36" s="26"/>
      <c r="E36" s="32"/>
    </row>
    <row r="37" spans="1:7" ht="13.5" customHeight="1" x14ac:dyDescent="0.25">
      <c r="A37" s="13" t="s">
        <v>20</v>
      </c>
      <c r="B37" s="6"/>
      <c r="C37" s="41">
        <v>65298980</v>
      </c>
      <c r="D37" s="26"/>
      <c r="E37" s="32"/>
    </row>
    <row r="38" spans="1:7" ht="13.5" customHeight="1" x14ac:dyDescent="0.25">
      <c r="A38" s="13" t="s">
        <v>24</v>
      </c>
      <c r="B38" s="6"/>
      <c r="C38" s="41">
        <f>1541087+24854860</f>
        <v>26395947</v>
      </c>
      <c r="D38" s="26"/>
      <c r="E38" s="32"/>
    </row>
    <row r="39" spans="1:7" ht="13.5" customHeight="1" x14ac:dyDescent="0.25">
      <c r="A39" s="13" t="s">
        <v>21</v>
      </c>
      <c r="B39" s="6"/>
      <c r="C39" s="37">
        <v>6210855</v>
      </c>
      <c r="D39" s="37"/>
      <c r="E39" s="41">
        <f>26435147+396466</f>
        <v>26831613</v>
      </c>
    </row>
    <row r="40" spans="1:7" ht="13.5" customHeight="1" x14ac:dyDescent="0.25">
      <c r="A40" s="17" t="s">
        <v>22</v>
      </c>
      <c r="B40" s="6"/>
      <c r="C40" s="48">
        <f>+C37+C38+C39</f>
        <v>97905782</v>
      </c>
      <c r="D40" s="26"/>
      <c r="E40" s="26"/>
    </row>
    <row r="41" spans="1:7" ht="13.5" customHeight="1" x14ac:dyDescent="0.25">
      <c r="A41" s="17"/>
      <c r="B41" s="6"/>
      <c r="C41" s="49"/>
      <c r="D41" s="26"/>
      <c r="E41" s="26"/>
      <c r="G41" s="69">
        <f>65298980.34+5756176.69+415478.46+20224292.21</f>
        <v>91694927.699999988</v>
      </c>
    </row>
    <row r="42" spans="1:7" ht="16.5" customHeight="1" thickBot="1" x14ac:dyDescent="0.3">
      <c r="A42" s="18" t="s">
        <v>23</v>
      </c>
      <c r="B42" s="6"/>
      <c r="C42" s="19">
        <f>+C30+C40</f>
        <v>101201704</v>
      </c>
      <c r="D42" s="53"/>
      <c r="E42" s="54">
        <f>+C38-E39</f>
        <v>-435666</v>
      </c>
    </row>
    <row r="43" spans="1:7" ht="16.5" customHeight="1" thickTop="1" x14ac:dyDescent="0.25">
      <c r="A43" s="18"/>
      <c r="B43" s="6"/>
      <c r="C43" s="47"/>
      <c r="D43" s="1"/>
      <c r="E43" s="1"/>
    </row>
    <row r="44" spans="1:7" ht="16.5" customHeight="1" x14ac:dyDescent="0.25">
      <c r="A44" s="18"/>
      <c r="B44" s="6"/>
      <c r="C44" s="47"/>
      <c r="D44" s="1"/>
      <c r="E44" s="1"/>
    </row>
    <row r="45" spans="1:7" x14ac:dyDescent="0.25">
      <c r="D45" s="1"/>
      <c r="E45" s="26">
        <f>+C39-5756177</f>
        <v>454678</v>
      </c>
    </row>
    <row r="46" spans="1:7" x14ac:dyDescent="0.25">
      <c r="A46" s="28" t="s">
        <v>25</v>
      </c>
      <c r="C46" s="38" t="s">
        <v>25</v>
      </c>
      <c r="D46" s="29"/>
    </row>
    <row r="47" spans="1:7" ht="13.5" customHeight="1" x14ac:dyDescent="0.25">
      <c r="A47" s="30" t="s">
        <v>34</v>
      </c>
      <c r="B47" s="31"/>
      <c r="C47" s="50" t="s">
        <v>32</v>
      </c>
      <c r="D47" s="29"/>
    </row>
    <row r="48" spans="1:7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6:H57"/>
  <sheetViews>
    <sheetView topLeftCell="A16" zoomScaleNormal="100" workbookViewId="0">
      <selection activeCell="C62" sqref="C61:C62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29673835.879999999</v>
      </c>
      <c r="D12" s="38"/>
    </row>
    <row r="13" spans="1:8" ht="13.5" customHeight="1" x14ac:dyDescent="0.25">
      <c r="A13" s="10" t="s">
        <v>3</v>
      </c>
      <c r="B13" s="6"/>
      <c r="C13" s="37">
        <v>1789935.06</v>
      </c>
      <c r="D13" s="59"/>
      <c r="E13" s="56"/>
    </row>
    <row r="14" spans="1:8" ht="13.5" customHeight="1" x14ac:dyDescent="0.25">
      <c r="A14" s="10" t="s">
        <v>4</v>
      </c>
      <c r="B14" s="6"/>
      <c r="C14" s="37">
        <v>6563501.3099999996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38027272.25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v>70830404.269999996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9856566.6799999997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80686970.949999988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118905799.99999999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17115869.800000001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17115869.800000001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f>32606855-52.8</f>
        <v>32606802.199999999</v>
      </c>
      <c r="D39" s="41"/>
      <c r="E39" s="32"/>
    </row>
    <row r="40" spans="1:5" ht="13.5" customHeight="1" x14ac:dyDescent="0.25">
      <c r="A40" s="13" t="s">
        <v>21</v>
      </c>
      <c r="B40" s="6"/>
      <c r="C40" s="37">
        <v>3884148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101789930.2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118905800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H57"/>
  <sheetViews>
    <sheetView topLeftCell="A10" zoomScaleNormal="100" workbookViewId="0">
      <selection activeCell="C20" sqref="C20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28490107.789999999</v>
      </c>
      <c r="D12" s="38"/>
    </row>
    <row r="13" spans="1:8" ht="13.5" customHeight="1" x14ac:dyDescent="0.25">
      <c r="A13" s="10" t="s">
        <v>3</v>
      </c>
      <c r="B13" s="6"/>
      <c r="C13" s="37">
        <v>1789935.06</v>
      </c>
      <c r="D13" s="59"/>
      <c r="E13" s="56"/>
    </row>
    <row r="14" spans="1:8" ht="13.5" customHeight="1" x14ac:dyDescent="0.25">
      <c r="A14" s="10" t="s">
        <v>4</v>
      </c>
      <c r="B14" s="6"/>
      <c r="C14" s="37">
        <v>0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38">
        <v>535531.99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30815574.839999996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70830404.27-1431498.89-656.7</f>
        <v>69398248.679999992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9856566.6799999997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79254815.359999985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110261946.99999999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3922165.71</v>
      </c>
      <c r="D30" s="26">
        <f>C30-3922165.71</f>
        <v>0</v>
      </c>
      <c r="E30" s="26"/>
    </row>
    <row r="31" spans="1:8" ht="13.5" customHeight="1" x14ac:dyDescent="0.25">
      <c r="A31" s="17" t="s">
        <v>18</v>
      </c>
      <c r="B31" s="6"/>
      <c r="C31" s="47">
        <f>SUM(C30)</f>
        <v>3922165.71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f>32606855-52.8</f>
        <v>32606802.199999999</v>
      </c>
      <c r="D39" s="41"/>
      <c r="E39" s="32"/>
    </row>
    <row r="40" spans="1:5" ht="13.5" customHeight="1" x14ac:dyDescent="0.25">
      <c r="A40" s="13" t="s">
        <v>21</v>
      </c>
      <c r="B40" s="6"/>
      <c r="C40" s="37">
        <f>8754470-320470.91</f>
        <v>8433999.0899999999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106339781.29000001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110261947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H57"/>
  <sheetViews>
    <sheetView zoomScaleNormal="100" workbookViewId="0">
      <selection activeCell="D13" sqref="D1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25167337</v>
      </c>
      <c r="D12" s="38"/>
    </row>
    <row r="13" spans="1:8" ht="13.5" customHeight="1" x14ac:dyDescent="0.25">
      <c r="A13" s="10" t="s">
        <v>3</v>
      </c>
      <c r="B13" s="6"/>
      <c r="C13" s="37">
        <v>1789935.06</v>
      </c>
      <c r="D13" s="59"/>
      <c r="E13" s="56"/>
    </row>
    <row r="14" spans="1:8" ht="13.5" customHeight="1" x14ac:dyDescent="0.25">
      <c r="A14" s="10" t="s">
        <v>4</v>
      </c>
      <c r="B14" s="6"/>
      <c r="C14" s="37">
        <v>8570272.6799999997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38">
        <v>442781.86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35970326.599999994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63869872.26+1613851.06+3013431.1</f>
        <v>68497154.420000002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9856566.6799999997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78353721.099999994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114515604.49999999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8109813.04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8109813.04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f>32606855-52.8</f>
        <v>32606802.199999999</v>
      </c>
      <c r="D39" s="41"/>
      <c r="E39" s="32"/>
    </row>
    <row r="40" spans="1:5" ht="13.5" customHeight="1" x14ac:dyDescent="0.25">
      <c r="A40" s="13" t="s">
        <v>21</v>
      </c>
      <c r="B40" s="6"/>
      <c r="C40" s="37">
        <v>8500009.2599999998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106405791.46000001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114515604.50000001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6:H57"/>
  <sheetViews>
    <sheetView zoomScale="106" zoomScaleNormal="106" workbookViewId="0">
      <selection activeCell="D43" sqref="D4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35834853.210000001</v>
      </c>
      <c r="D12" s="38"/>
    </row>
    <row r="13" spans="1:8" ht="13.5" customHeight="1" x14ac:dyDescent="0.25">
      <c r="A13" s="10" t="s">
        <v>3</v>
      </c>
      <c r="B13" s="6"/>
      <c r="C13" s="62">
        <v>1789935</v>
      </c>
      <c r="D13" s="60"/>
      <c r="E13" s="56"/>
    </row>
    <row r="14" spans="1:8" ht="13.5" customHeight="1" x14ac:dyDescent="0.25">
      <c r="A14" s="10" t="s">
        <v>4</v>
      </c>
      <c r="B14" s="6"/>
      <c r="C14" s="37">
        <v>25000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38">
        <v>359615.28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38009403.490000002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63869872.26+950765.06+2952505.49+6904061.68+1175480.22-815865</f>
        <v>75036819.710000008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2952505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77989324.710000008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116190285.00000001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4784210.9000000004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4784210.9000000004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v>13515004</v>
      </c>
      <c r="D39" s="41"/>
      <c r="E39" s="32"/>
    </row>
    <row r="40" spans="1:5" ht="13.5" customHeight="1" x14ac:dyDescent="0.25">
      <c r="A40" s="13" t="s">
        <v>21</v>
      </c>
      <c r="B40" s="6"/>
      <c r="C40" s="37">
        <f>26435147.28+6152642.82+4300</f>
        <v>32592090.100000001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111406074.09999999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116190285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H57"/>
  <sheetViews>
    <sheetView topLeftCell="A23" zoomScale="106" zoomScaleNormal="106" workbookViewId="0">
      <selection activeCell="D26" sqref="D26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35834853.210000001</v>
      </c>
      <c r="D12" s="38">
        <f>C12-D16</f>
        <v>35834853.210000001</v>
      </c>
    </row>
    <row r="13" spans="1:8" ht="13.5" customHeight="1" x14ac:dyDescent="0.25">
      <c r="A13" s="10" t="s">
        <v>3</v>
      </c>
      <c r="B13" s="6"/>
      <c r="C13" s="61">
        <v>1789935</v>
      </c>
      <c r="D13" s="60"/>
      <c r="E13" s="56"/>
    </row>
    <row r="14" spans="1:8" ht="13.5" customHeight="1" x14ac:dyDescent="0.25">
      <c r="A14" s="10" t="s">
        <v>4</v>
      </c>
      <c r="B14" s="6"/>
      <c r="C14" s="37">
        <v>25000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38">
        <v>359615.28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38009403.490000002</v>
      </c>
      <c r="D16" s="32">
        <f>C16-38009403.49</f>
        <v>0</v>
      </c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63869872.26+950765.06+2952505.49+6904061.68+1175480.22</f>
        <v>75852684.710000008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2952505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78805189.710000008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117006150.00000001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4784210.9000000004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4784210.9000000004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v>14330869</v>
      </c>
      <c r="D39" s="41"/>
      <c r="E39" s="32"/>
    </row>
    <row r="40" spans="1:5" ht="13.5" customHeight="1" x14ac:dyDescent="0.25">
      <c r="A40" s="13" t="s">
        <v>21</v>
      </c>
      <c r="B40" s="6"/>
      <c r="C40" s="37">
        <f>26435147.28+6152642.82+4300</f>
        <v>32592090.100000001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112221939.09999999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117006150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6:H57"/>
  <sheetViews>
    <sheetView topLeftCell="A10" zoomScale="106" zoomScaleNormal="106" workbookViewId="0">
      <selection activeCell="D22" sqref="D22:D2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f>21166170.97-84031.8</f>
        <v>21082139.169999998</v>
      </c>
      <c r="D12" s="38"/>
    </row>
    <row r="13" spans="1:8" ht="13.5" customHeight="1" x14ac:dyDescent="0.25">
      <c r="A13" s="10" t="s">
        <v>3</v>
      </c>
      <c r="B13" s="6"/>
      <c r="C13" s="37">
        <v>1789935</v>
      </c>
      <c r="D13" s="60"/>
      <c r="E13" s="56"/>
    </row>
    <row r="14" spans="1:8" ht="13.5" customHeight="1" x14ac:dyDescent="0.25">
      <c r="A14" s="10" t="s">
        <v>4</v>
      </c>
      <c r="B14" s="6"/>
      <c r="C14" s="37">
        <v>19845142.670000002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66">
        <v>84031.86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42801248.700000003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63869872.26+950765.06+2952505.49+6904061.68+1175480.22-815865-867523.46-107524.75</f>
        <v>74061771.500000015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2952505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77014276.500000015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120007082.00000001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4073764.21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4073764.21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v>32592090.100000001</v>
      </c>
      <c r="D39" s="41"/>
      <c r="E39" s="32"/>
    </row>
    <row r="40" spans="1:5" ht="13.5" customHeight="1" x14ac:dyDescent="0.25">
      <c r="A40" s="13" t="s">
        <v>21</v>
      </c>
      <c r="B40" s="6"/>
      <c r="C40" s="37">
        <v>18042247.690000001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115933317.78999999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120007081.99999999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5" ht="13.5" customHeight="1" x14ac:dyDescent="0.25">
      <c r="A49" s="30" t="s">
        <v>35</v>
      </c>
      <c r="B49" s="31"/>
      <c r="C49" s="50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6:H57"/>
  <sheetViews>
    <sheetView topLeftCell="A25" zoomScale="106" zoomScaleNormal="106" workbookViewId="0">
      <selection activeCell="E42" sqref="E42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67"/>
    </row>
    <row r="12" spans="1:8" ht="13.5" customHeight="1" x14ac:dyDescent="0.25">
      <c r="A12" s="10" t="s">
        <v>2</v>
      </c>
      <c r="B12" s="6"/>
      <c r="C12" s="37">
        <v>43966605.159999996</v>
      </c>
      <c r="D12" s="38"/>
    </row>
    <row r="13" spans="1:8" ht="13.5" customHeight="1" x14ac:dyDescent="0.25">
      <c r="A13" s="10" t="s">
        <v>3</v>
      </c>
      <c r="B13" s="6"/>
      <c r="C13" s="37">
        <v>1612079.17</v>
      </c>
      <c r="D13" s="60"/>
      <c r="E13" s="56"/>
    </row>
    <row r="14" spans="1:8" ht="13.5" customHeight="1" x14ac:dyDescent="0.25">
      <c r="A14" s="10" t="s">
        <v>4</v>
      </c>
      <c r="B14" s="6"/>
      <c r="C14" s="37">
        <v>46666.67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66">
        <v>325397.89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45950748.890000001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v>73429621.359999999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f>2830651.87</f>
        <v>2830651.87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76260273.230000004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191556.8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191556.8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122402578.92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4321855.17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4321855.17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5" ht="13.5" customHeight="1" x14ac:dyDescent="0.25">
      <c r="A39" s="13" t="s">
        <v>24</v>
      </c>
      <c r="B39" s="6"/>
      <c r="C39" s="41">
        <v>32587790.77</v>
      </c>
      <c r="D39" s="41"/>
      <c r="E39" s="32"/>
    </row>
    <row r="40" spans="1:5" ht="13.5" customHeight="1" x14ac:dyDescent="0.25">
      <c r="A40" s="13" t="s">
        <v>21</v>
      </c>
      <c r="B40" s="6"/>
      <c r="C40" s="37">
        <v>20193952.98</v>
      </c>
      <c r="D40" s="37"/>
      <c r="E40" s="41"/>
    </row>
    <row r="41" spans="1:5" ht="13.5" customHeight="1" x14ac:dyDescent="0.25">
      <c r="A41" s="17" t="s">
        <v>22</v>
      </c>
      <c r="B41" s="6"/>
      <c r="C41" s="48">
        <f>+C38+C39+C40</f>
        <v>118080723.75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122402578.92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1.1" customHeight="1" x14ac:dyDescent="0.25">
      <c r="A48" s="63" t="s">
        <v>34</v>
      </c>
      <c r="B48" s="64"/>
      <c r="C48" s="65" t="s">
        <v>32</v>
      </c>
      <c r="D48" s="29"/>
    </row>
    <row r="49" spans="1:5" ht="11.1" customHeight="1" x14ac:dyDescent="0.25">
      <c r="A49" s="63" t="s">
        <v>35</v>
      </c>
      <c r="B49" s="64"/>
      <c r="C49" s="65" t="s">
        <v>33</v>
      </c>
      <c r="D49" s="29"/>
    </row>
    <row r="53" spans="1:5" x14ac:dyDescent="0.25">
      <c r="E53" s="32"/>
    </row>
    <row r="54" spans="1:5" x14ac:dyDescent="0.25">
      <c r="E54" s="32"/>
    </row>
    <row r="55" spans="1:5" x14ac:dyDescent="0.25">
      <c r="E55" s="32"/>
    </row>
    <row r="56" spans="1:5" x14ac:dyDescent="0.25">
      <c r="E56" s="32"/>
    </row>
    <row r="57" spans="1:5" x14ac:dyDescent="0.25">
      <c r="E57" s="32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6:H57"/>
  <sheetViews>
    <sheetView tabSelected="1" topLeftCell="A10" zoomScaleNormal="100" workbookViewId="0">
      <selection activeCell="F39" sqref="F39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8" x14ac:dyDescent="0.25">
      <c r="A6" s="6"/>
      <c r="B6" s="6"/>
      <c r="C6" s="35"/>
    </row>
    <row r="7" spans="1:8" x14ac:dyDescent="0.25">
      <c r="A7" s="6"/>
      <c r="B7" s="6"/>
      <c r="C7" s="35"/>
    </row>
    <row r="8" spans="1:8" x14ac:dyDescent="0.25">
      <c r="A8" s="6"/>
      <c r="B8" s="6"/>
      <c r="C8" s="35"/>
    </row>
    <row r="9" spans="1:8" ht="13.5" customHeight="1" x14ac:dyDescent="0.25">
      <c r="A9" s="6"/>
      <c r="B9" s="6"/>
      <c r="C9" s="35"/>
    </row>
    <row r="10" spans="1:8" ht="13.5" customHeight="1" x14ac:dyDescent="0.25">
      <c r="A10" s="7" t="s">
        <v>0</v>
      </c>
      <c r="B10" s="6"/>
      <c r="C10" s="35"/>
    </row>
    <row r="11" spans="1:8" ht="13.5" customHeight="1" x14ac:dyDescent="0.25">
      <c r="A11" s="8" t="s">
        <v>1</v>
      </c>
      <c r="B11" s="6"/>
      <c r="C11" s="36"/>
    </row>
    <row r="12" spans="1:8" ht="13.5" customHeight="1" x14ac:dyDescent="0.25">
      <c r="A12" s="10" t="s">
        <v>2</v>
      </c>
      <c r="B12" s="6"/>
      <c r="C12" s="37">
        <v>19704924</v>
      </c>
      <c r="D12" s="38"/>
    </row>
    <row r="13" spans="1:8" ht="13.5" customHeight="1" x14ac:dyDescent="0.25">
      <c r="A13" s="10" t="s">
        <v>3</v>
      </c>
      <c r="B13" s="6"/>
      <c r="C13" s="37">
        <v>1674634</v>
      </c>
      <c r="D13" s="60"/>
      <c r="E13" s="56"/>
    </row>
    <row r="14" spans="1:8" ht="13.5" customHeight="1" x14ac:dyDescent="0.25">
      <c r="A14" s="10" t="s">
        <v>4</v>
      </c>
      <c r="B14" s="6"/>
      <c r="C14" s="37">
        <v>271832.67</v>
      </c>
      <c r="D14" s="59"/>
      <c r="E14" s="56"/>
      <c r="F14" s="10"/>
      <c r="G14" s="6"/>
      <c r="H14" s="37"/>
    </row>
    <row r="15" spans="1:8" ht="13.5" customHeight="1" x14ac:dyDescent="0.25">
      <c r="A15" s="10" t="s">
        <v>5</v>
      </c>
      <c r="B15" s="6"/>
      <c r="C15" s="66">
        <v>859366.33</v>
      </c>
      <c r="D15" s="32"/>
      <c r="E15" s="32"/>
      <c r="F15" s="26"/>
    </row>
    <row r="16" spans="1:8" ht="17.25" customHeight="1" thickBot="1" x14ac:dyDescent="0.3">
      <c r="A16" s="11" t="s">
        <v>6</v>
      </c>
      <c r="B16" s="6"/>
      <c r="C16" s="58">
        <f>SUM(C12:C15)</f>
        <v>22510757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75008187.64-14956.8-174600.89</f>
        <v>74818629.950000003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2465093.41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77283723.359999999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  <c r="G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174600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174600</v>
      </c>
      <c r="D25" s="70"/>
      <c r="E25" s="32"/>
    </row>
    <row r="26" spans="1:8" ht="19.5" customHeight="1" thickBot="1" x14ac:dyDescent="0.3">
      <c r="A26" s="18" t="s">
        <v>14</v>
      </c>
      <c r="B26" s="6"/>
      <c r="C26" s="19">
        <f>C16+C21+C25</f>
        <v>99969080.359999999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  <c r="E29" s="26"/>
    </row>
    <row r="30" spans="1:8" ht="13.5" customHeight="1" x14ac:dyDescent="0.25">
      <c r="A30" s="13" t="s">
        <v>17</v>
      </c>
      <c r="B30" s="6"/>
      <c r="C30" s="46">
        <v>6053381.5199999996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6053381.5199999996</v>
      </c>
    </row>
    <row r="32" spans="1:8" ht="13.5" customHeight="1" x14ac:dyDescent="0.25">
      <c r="A32" s="17"/>
      <c r="B32" s="6"/>
      <c r="C32" s="44"/>
    </row>
    <row r="33" spans="1:7" ht="13.5" customHeight="1" x14ac:dyDescent="0.25">
      <c r="A33" s="17" t="s">
        <v>30</v>
      </c>
      <c r="B33" s="6"/>
      <c r="C33" s="45"/>
      <c r="E33" s="68"/>
    </row>
    <row r="34" spans="1:7" ht="13.5" customHeight="1" x14ac:dyDescent="0.25">
      <c r="A34" s="13" t="s">
        <v>31</v>
      </c>
      <c r="B34" s="6"/>
      <c r="C34" s="51">
        <v>0</v>
      </c>
    </row>
    <row r="35" spans="1:7" ht="13.5" customHeight="1" x14ac:dyDescent="0.25">
      <c r="A35" s="17" t="s">
        <v>18</v>
      </c>
      <c r="B35" s="6"/>
      <c r="C35" s="38">
        <v>0</v>
      </c>
    </row>
    <row r="36" spans="1:7" ht="13.5" customHeight="1" x14ac:dyDescent="0.25">
      <c r="A36" s="17"/>
      <c r="B36" s="6"/>
      <c r="C36" s="47"/>
      <c r="E36" s="32"/>
    </row>
    <row r="37" spans="1:7" ht="13.5" customHeight="1" x14ac:dyDescent="0.25">
      <c r="A37" s="17" t="s">
        <v>19</v>
      </c>
      <c r="B37" s="6"/>
      <c r="C37" s="41"/>
      <c r="D37" s="26"/>
      <c r="E37" s="32"/>
    </row>
    <row r="38" spans="1:7" ht="13.5" customHeight="1" x14ac:dyDescent="0.25">
      <c r="A38" s="13" t="s">
        <v>20</v>
      </c>
      <c r="B38" s="6"/>
      <c r="C38" s="41">
        <v>65298980</v>
      </c>
      <c r="D38" s="41"/>
      <c r="E38" s="32"/>
    </row>
    <row r="39" spans="1:7" ht="13.5" customHeight="1" x14ac:dyDescent="0.25">
      <c r="A39" s="13" t="s">
        <v>24</v>
      </c>
      <c r="B39" s="6"/>
      <c r="C39" s="41">
        <f>26435147.28+6152643.67</f>
        <v>32587790.950000003</v>
      </c>
      <c r="D39" s="41"/>
      <c r="E39" s="32"/>
      <c r="F39" s="38"/>
    </row>
    <row r="40" spans="1:7" ht="13.5" customHeight="1" x14ac:dyDescent="0.25">
      <c r="A40" s="13" t="s">
        <v>21</v>
      </c>
      <c r="B40" s="6"/>
      <c r="C40" s="37">
        <v>-3971071</v>
      </c>
      <c r="D40" s="37"/>
      <c r="E40" s="41"/>
    </row>
    <row r="41" spans="1:7" ht="13.5" customHeight="1" x14ac:dyDescent="0.25">
      <c r="A41" s="17" t="s">
        <v>22</v>
      </c>
      <c r="B41" s="6"/>
      <c r="C41" s="48">
        <f>+C38+C39+C40</f>
        <v>93915699.950000003</v>
      </c>
      <c r="D41" s="26"/>
      <c r="E41" s="26"/>
    </row>
    <row r="42" spans="1:7" ht="13.5" customHeight="1" x14ac:dyDescent="0.25">
      <c r="A42" s="17"/>
      <c r="B42" s="6"/>
      <c r="C42" s="49"/>
      <c r="D42" s="26"/>
      <c r="E42" s="26"/>
      <c r="F42" s="69"/>
    </row>
    <row r="43" spans="1:7" ht="16.5" customHeight="1" thickBot="1" x14ac:dyDescent="0.3">
      <c r="A43" s="18" t="s">
        <v>23</v>
      </c>
      <c r="B43" s="6"/>
      <c r="C43" s="19">
        <f>+C31+C41-1.11</f>
        <v>99969080.359999999</v>
      </c>
      <c r="D43" s="53"/>
      <c r="E43" s="54"/>
      <c r="G43" s="26"/>
    </row>
    <row r="44" spans="1:7" ht="16.5" customHeight="1" thickTop="1" x14ac:dyDescent="0.25">
      <c r="A44" s="18"/>
      <c r="B44" s="6"/>
      <c r="C44" s="47"/>
      <c r="D44" s="1"/>
      <c r="E44" s="1"/>
    </row>
    <row r="45" spans="1:7" ht="16.5" customHeight="1" x14ac:dyDescent="0.25">
      <c r="A45" s="18"/>
      <c r="B45" s="6"/>
      <c r="C45" s="47"/>
      <c r="D45" s="1"/>
      <c r="E45" s="1"/>
    </row>
    <row r="46" spans="1:7" x14ac:dyDescent="0.25">
      <c r="D46" s="1"/>
      <c r="E46" s="26"/>
    </row>
    <row r="47" spans="1:7" x14ac:dyDescent="0.25">
      <c r="A47" s="28" t="s">
        <v>25</v>
      </c>
      <c r="C47" s="38" t="s">
        <v>25</v>
      </c>
      <c r="D47" s="29"/>
    </row>
    <row r="48" spans="1:7" ht="12" customHeight="1" x14ac:dyDescent="0.25">
      <c r="A48" s="63" t="s">
        <v>34</v>
      </c>
      <c r="B48" s="64"/>
      <c r="C48" s="65" t="s">
        <v>32</v>
      </c>
      <c r="D48" s="29"/>
    </row>
    <row r="49" spans="1:6" ht="11.25" customHeight="1" x14ac:dyDescent="0.25">
      <c r="A49" s="63" t="s">
        <v>35</v>
      </c>
      <c r="B49" s="64"/>
      <c r="C49" s="65" t="s">
        <v>33</v>
      </c>
      <c r="D49" s="29"/>
    </row>
    <row r="55" spans="1:6" x14ac:dyDescent="0.25">
      <c r="F55" s="26"/>
    </row>
    <row r="57" spans="1:6" x14ac:dyDescent="0.25">
      <c r="D57" s="69"/>
    </row>
  </sheetData>
  <pageMargins left="0.70866141732283472" right="0.70866141732283472" top="0.74803149606299213" bottom="0.74803149606299213" header="0.31496062992125984" footer="0.31496062992125984"/>
  <pageSetup scale="90" fitToHeight="3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H49"/>
  <sheetViews>
    <sheetView topLeftCell="A34" zoomScaleNormal="100" workbookViewId="0">
      <selection activeCell="C40" sqref="C40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25712424</v>
      </c>
      <c r="D12" s="38"/>
    </row>
    <row r="13" spans="1:6" ht="13.5" customHeight="1" x14ac:dyDescent="0.25">
      <c r="A13" s="10" t="s">
        <v>3</v>
      </c>
      <c r="B13" s="6"/>
      <c r="C13" s="37">
        <v>1994592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27707016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77350604.23-138557.41</f>
        <v>77212046.820000008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10547474.380000001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87759521.200000003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115605094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4516230.05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4516230.05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v>26376147</v>
      </c>
      <c r="D39" s="26"/>
      <c r="E39" s="32"/>
    </row>
    <row r="40" spans="1:5" ht="13.5" customHeight="1" x14ac:dyDescent="0.25">
      <c r="A40" s="13" t="s">
        <v>21</v>
      </c>
      <c r="B40" s="6"/>
      <c r="C40" s="37">
        <v>0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91675127.340000004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96191357.390000001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H49"/>
  <sheetViews>
    <sheetView topLeftCell="A34" zoomScaleNormal="100" workbookViewId="0">
      <selection activeCell="A56" sqref="A56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25712424</v>
      </c>
      <c r="D12" s="38"/>
    </row>
    <row r="13" spans="1:6" ht="13.5" customHeight="1" x14ac:dyDescent="0.25">
      <c r="A13" s="10" t="s">
        <v>3</v>
      </c>
      <c r="B13" s="6"/>
      <c r="C13" s="37">
        <v>1994592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27707016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f>77350604.23-138557.41</f>
        <v>77212046.820000008</v>
      </c>
      <c r="D19" s="1"/>
      <c r="E19" s="55"/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10547474.380000001</v>
      </c>
      <c r="D20" s="26"/>
      <c r="E20" s="55"/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87759521.200000003</v>
      </c>
      <c r="D21" s="1"/>
      <c r="E21" s="32"/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115605094</v>
      </c>
      <c r="D26" s="1"/>
      <c r="E26" s="32"/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4516230.05</v>
      </c>
      <c r="D30" s="26"/>
      <c r="E30" s="26"/>
    </row>
    <row r="31" spans="1:8" ht="13.5" customHeight="1" x14ac:dyDescent="0.25">
      <c r="A31" s="17" t="s">
        <v>18</v>
      </c>
      <c r="B31" s="6"/>
      <c r="C31" s="47">
        <f>SUM(C30)</f>
        <v>4516230.05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  <c r="E37" s="32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v>26376147</v>
      </c>
      <c r="D39" s="26"/>
      <c r="E39" s="32"/>
    </row>
    <row r="40" spans="1:5" ht="13.5" customHeight="1" x14ac:dyDescent="0.25">
      <c r="A40" s="13" t="s">
        <v>21</v>
      </c>
      <c r="B40" s="6"/>
      <c r="C40" s="37">
        <v>0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91675127.340000004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96191357.390000001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H49"/>
  <sheetViews>
    <sheetView topLeftCell="A16" zoomScaleNormal="100" workbookViewId="0">
      <selection activeCell="D43" sqref="D43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85546875" style="2" bestFit="1" customWidth="1"/>
    <col min="5" max="5" width="19.570312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26154986.530000001</v>
      </c>
      <c r="D12" s="38"/>
    </row>
    <row r="13" spans="1:6" ht="13.5" customHeight="1" x14ac:dyDescent="0.25">
      <c r="A13" s="10" t="s">
        <v>3</v>
      </c>
      <c r="B13" s="6"/>
      <c r="C13" s="37">
        <v>1400337.92</v>
      </c>
      <c r="D13" s="59"/>
      <c r="E13" s="56"/>
    </row>
    <row r="14" spans="1:6" ht="13.5" customHeight="1" x14ac:dyDescent="0.25">
      <c r="A14" s="10" t="s">
        <v>4</v>
      </c>
      <c r="B14" s="6"/>
      <c r="C14" s="37">
        <v>0</v>
      </c>
      <c r="D14" s="32"/>
      <c r="E14" s="32"/>
    </row>
    <row r="15" spans="1:6" ht="13.5" customHeight="1" x14ac:dyDescent="0.25">
      <c r="A15" s="10" t="s">
        <v>5</v>
      </c>
      <c r="B15" s="6"/>
      <c r="C15" s="38">
        <v>0</v>
      </c>
      <c r="D15" s="32"/>
      <c r="E15" s="32"/>
      <c r="F15" s="26"/>
    </row>
    <row r="16" spans="1:6" ht="17.25" customHeight="1" thickBot="1" x14ac:dyDescent="0.3">
      <c r="A16" s="11" t="s">
        <v>6</v>
      </c>
      <c r="B16" s="6"/>
      <c r="C16" s="58">
        <f>SUM(C12:C15)</f>
        <v>27555324.450000003</v>
      </c>
      <c r="D16" s="32"/>
      <c r="E16" s="32"/>
    </row>
    <row r="17" spans="1:8" ht="13.5" customHeight="1" thickTop="1" x14ac:dyDescent="0.25">
      <c r="A17" s="13"/>
      <c r="B17" s="6"/>
      <c r="C17" s="40"/>
      <c r="D17" s="32"/>
      <c r="E17" s="32"/>
      <c r="F17" s="26"/>
      <c r="G17" s="32"/>
    </row>
    <row r="18" spans="1:8" ht="13.5" customHeight="1" x14ac:dyDescent="0.25">
      <c r="A18" s="11" t="s">
        <v>7</v>
      </c>
      <c r="B18" s="6"/>
      <c r="C18" s="41"/>
      <c r="D18" s="32"/>
      <c r="E18" s="32"/>
      <c r="F18" s="26"/>
    </row>
    <row r="19" spans="1:8" ht="13.5" customHeight="1" x14ac:dyDescent="0.25">
      <c r="A19" s="10" t="s">
        <v>8</v>
      </c>
      <c r="B19" s="6"/>
      <c r="C19" s="42">
        <v>77191531.370000005</v>
      </c>
      <c r="D19" s="1"/>
      <c r="E19" s="55">
        <v>86168998.049999997</v>
      </c>
      <c r="F19" s="52"/>
      <c r="G19" s="26"/>
      <c r="H19" s="26"/>
    </row>
    <row r="20" spans="1:8" ht="13.5" customHeight="1" x14ac:dyDescent="0.25">
      <c r="A20" s="10" t="s">
        <v>9</v>
      </c>
      <c r="B20" s="6"/>
      <c r="C20" s="42">
        <v>8977466.6799999997</v>
      </c>
      <c r="D20" s="26"/>
      <c r="E20" s="55">
        <v>8977466.6799999997</v>
      </c>
      <c r="F20" s="34"/>
      <c r="G20" s="26"/>
    </row>
    <row r="21" spans="1:8" ht="21" customHeight="1" thickBot="1" x14ac:dyDescent="0.3">
      <c r="A21" s="11" t="s">
        <v>10</v>
      </c>
      <c r="B21" s="6"/>
      <c r="C21" s="58">
        <f>SUM(C19:C20)</f>
        <v>86168998.050000012</v>
      </c>
      <c r="D21" s="1"/>
      <c r="E21" s="32">
        <f>E19-E20</f>
        <v>77191531.370000005</v>
      </c>
      <c r="G21" s="26"/>
    </row>
    <row r="22" spans="1:8" ht="13.5" customHeight="1" thickTop="1" x14ac:dyDescent="0.25">
      <c r="A22" s="13"/>
      <c r="B22" s="6"/>
      <c r="C22" s="43"/>
      <c r="D22" s="38"/>
      <c r="E22" s="32"/>
      <c r="F22" s="26"/>
    </row>
    <row r="23" spans="1:8" ht="13.5" customHeight="1" x14ac:dyDescent="0.25">
      <c r="A23" s="17" t="s">
        <v>11</v>
      </c>
      <c r="B23" s="6"/>
      <c r="C23" s="43"/>
      <c r="E23" s="56"/>
    </row>
    <row r="24" spans="1:8" ht="13.5" customHeight="1" x14ac:dyDescent="0.25">
      <c r="A24" s="13" t="s">
        <v>12</v>
      </c>
      <c r="B24" s="6"/>
      <c r="C24" s="43">
        <v>138556.79999999999</v>
      </c>
      <c r="D24" s="38"/>
      <c r="E24" s="32"/>
      <c r="F24" s="26"/>
    </row>
    <row r="25" spans="1:8" ht="15" customHeight="1" x14ac:dyDescent="0.25">
      <c r="A25" s="17" t="s">
        <v>13</v>
      </c>
      <c r="B25" s="6"/>
      <c r="C25" s="39">
        <f>C24</f>
        <v>138556.79999999999</v>
      </c>
      <c r="E25" s="32"/>
    </row>
    <row r="26" spans="1:8" ht="19.5" customHeight="1" thickBot="1" x14ac:dyDescent="0.3">
      <c r="A26" s="18" t="s">
        <v>14</v>
      </c>
      <c r="B26" s="6"/>
      <c r="C26" s="19">
        <f>C16+C21+C25</f>
        <v>113862879.30000001</v>
      </c>
      <c r="D26" s="1"/>
      <c r="E26" s="32">
        <f>C26-107127707</f>
        <v>6735172.3000000119</v>
      </c>
    </row>
    <row r="27" spans="1:8" ht="13.5" customHeight="1" thickTop="1" x14ac:dyDescent="0.25">
      <c r="A27" s="17"/>
      <c r="B27" s="6"/>
      <c r="C27" s="44"/>
      <c r="E27" s="32"/>
    </row>
    <row r="28" spans="1:8" ht="13.5" customHeight="1" x14ac:dyDescent="0.25">
      <c r="A28" s="17" t="s">
        <v>15</v>
      </c>
      <c r="B28" s="6"/>
      <c r="C28" s="40"/>
      <c r="E28" s="34"/>
    </row>
    <row r="29" spans="1:8" ht="13.5" customHeight="1" x14ac:dyDescent="0.25">
      <c r="A29" s="17" t="s">
        <v>16</v>
      </c>
      <c r="B29" s="6"/>
      <c r="C29" s="45"/>
    </row>
    <row r="30" spans="1:8" ht="13.5" customHeight="1" x14ac:dyDescent="0.25">
      <c r="A30" s="13" t="s">
        <v>17</v>
      </c>
      <c r="B30" s="6"/>
      <c r="C30" s="46">
        <v>3325337.16</v>
      </c>
      <c r="D30" s="26">
        <v>2441638</v>
      </c>
      <c r="E30" s="26">
        <f>D30-C30</f>
        <v>-883699.16000000015</v>
      </c>
    </row>
    <row r="31" spans="1:8" ht="13.5" customHeight="1" x14ac:dyDescent="0.25">
      <c r="A31" s="17" t="s">
        <v>18</v>
      </c>
      <c r="B31" s="6"/>
      <c r="C31" s="47">
        <f>SUM(C30)</f>
        <v>3325337.16</v>
      </c>
    </row>
    <row r="32" spans="1:8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  <c r="E36" s="32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  <c r="E38" s="32"/>
    </row>
    <row r="39" spans="1:5" ht="13.5" customHeight="1" x14ac:dyDescent="0.25">
      <c r="A39" s="13" t="s">
        <v>24</v>
      </c>
      <c r="B39" s="6"/>
      <c r="C39" s="41">
        <f>28318152.78+395678.46</f>
        <v>28713831.240000002</v>
      </c>
      <c r="D39" s="26"/>
      <c r="E39" s="38"/>
    </row>
    <row r="40" spans="1:5" ht="13.5" customHeight="1" x14ac:dyDescent="0.25">
      <c r="A40" s="13" t="s">
        <v>21</v>
      </c>
      <c r="B40" s="6"/>
      <c r="C40" s="37">
        <f>13765032+2759698.56</f>
        <v>16524730.560000001</v>
      </c>
      <c r="D40" s="26"/>
      <c r="E40" s="41"/>
    </row>
    <row r="41" spans="1:5" ht="13.5" customHeight="1" x14ac:dyDescent="0.25">
      <c r="A41" s="17" t="s">
        <v>22</v>
      </c>
      <c r="B41" s="6"/>
      <c r="C41" s="48">
        <f>+C38+C39+C40</f>
        <v>110537542.14000002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113862879.30000001</v>
      </c>
      <c r="D43" s="53"/>
      <c r="E43" s="54"/>
    </row>
    <row r="44" spans="1:5" ht="16.5" customHeight="1" thickTop="1" x14ac:dyDescent="0.25">
      <c r="A44" s="18"/>
      <c r="B44" s="6"/>
      <c r="C44" s="47"/>
      <c r="D44" s="1"/>
      <c r="E44" s="1"/>
    </row>
    <row r="45" spans="1:5" ht="16.5" customHeight="1" x14ac:dyDescent="0.25">
      <c r="A45" s="18"/>
      <c r="B45" s="6"/>
      <c r="C45" s="47"/>
      <c r="D45" s="1"/>
      <c r="E45" s="1"/>
    </row>
    <row r="46" spans="1:5" x14ac:dyDescent="0.25">
      <c r="D46" s="1"/>
      <c r="E46" s="26"/>
    </row>
    <row r="47" spans="1:5" x14ac:dyDescent="0.25">
      <c r="A47" s="28" t="s">
        <v>25</v>
      </c>
      <c r="C47" s="38" t="s">
        <v>25</v>
      </c>
      <c r="D47" s="29"/>
    </row>
    <row r="48" spans="1:5" ht="13.5" customHeight="1" x14ac:dyDescent="0.25">
      <c r="A48" s="30" t="s">
        <v>34</v>
      </c>
      <c r="B48" s="31"/>
      <c r="C48" s="50" t="s">
        <v>32</v>
      </c>
      <c r="D48" s="29"/>
    </row>
    <row r="49" spans="1:4" ht="13.5" customHeight="1" x14ac:dyDescent="0.25">
      <c r="A49" s="30" t="s">
        <v>35</v>
      </c>
      <c r="B49" s="31"/>
      <c r="C49" s="50" t="s">
        <v>33</v>
      </c>
      <c r="D49" s="29"/>
    </row>
  </sheetData>
  <pageMargins left="0.43307086614173201" right="0.43307086614173201" top="0" bottom="0.74803149606299202" header="0" footer="0.31496062992126"/>
  <pageSetup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47"/>
  <sheetViews>
    <sheetView workbookViewId="0">
      <selection activeCell="C20" sqref="C20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7.7109375" bestFit="1" customWidth="1"/>
    <col min="6" max="6" width="13.85546875" bestFit="1" customWidth="1"/>
  </cols>
  <sheetData>
    <row r="6" spans="1:5" x14ac:dyDescent="0.25">
      <c r="A6" s="6"/>
      <c r="B6" s="6"/>
      <c r="C6" s="6"/>
      <c r="E6" s="33"/>
    </row>
    <row r="7" spans="1:5" s="2" customFormat="1" x14ac:dyDescent="0.25">
      <c r="A7" s="6"/>
      <c r="B7" s="6"/>
      <c r="C7" s="6"/>
    </row>
    <row r="8" spans="1:5" s="2" customFormat="1" x14ac:dyDescent="0.25">
      <c r="A8" s="6"/>
      <c r="B8" s="6"/>
      <c r="C8" s="6"/>
      <c r="E8" s="32"/>
    </row>
    <row r="9" spans="1:5" s="2" customFormat="1" ht="13.5" customHeight="1" x14ac:dyDescent="0.25">
      <c r="A9" s="6"/>
      <c r="B9" s="6"/>
      <c r="C9" s="6"/>
      <c r="E9" s="32"/>
    </row>
    <row r="10" spans="1:5" ht="13.5" customHeight="1" x14ac:dyDescent="0.25">
      <c r="A10" s="7" t="s">
        <v>0</v>
      </c>
      <c r="B10" s="6"/>
      <c r="C10" s="6"/>
      <c r="E10" s="32"/>
    </row>
    <row r="11" spans="1:5" ht="13.5" customHeight="1" x14ac:dyDescent="0.25">
      <c r="A11" s="8" t="s">
        <v>1</v>
      </c>
      <c r="B11" s="6"/>
      <c r="C11" s="9"/>
      <c r="E11" s="32"/>
    </row>
    <row r="12" spans="1:5" ht="13.5" customHeight="1" x14ac:dyDescent="0.25">
      <c r="A12" s="10" t="s">
        <v>2</v>
      </c>
      <c r="B12" s="6"/>
      <c r="C12" s="4">
        <f>34538364+1128</f>
        <v>34539492</v>
      </c>
      <c r="E12" s="32"/>
    </row>
    <row r="13" spans="1:5" ht="13.5" customHeight="1" x14ac:dyDescent="0.25">
      <c r="A13" s="10" t="s">
        <v>3</v>
      </c>
      <c r="B13" s="6"/>
      <c r="C13" s="4">
        <v>1699644</v>
      </c>
      <c r="E13" s="26"/>
    </row>
    <row r="14" spans="1:5" ht="13.5" customHeight="1" x14ac:dyDescent="0.25">
      <c r="A14" s="10" t="s">
        <v>4</v>
      </c>
      <c r="B14" s="6"/>
      <c r="C14" s="33">
        <v>0</v>
      </c>
    </row>
    <row r="15" spans="1:5" ht="13.5" customHeight="1" x14ac:dyDescent="0.25">
      <c r="A15" s="10" t="s">
        <v>5</v>
      </c>
      <c r="B15" s="6"/>
      <c r="C15" s="33">
        <v>0</v>
      </c>
    </row>
    <row r="16" spans="1:5" ht="13.5" customHeight="1" x14ac:dyDescent="0.25">
      <c r="A16" s="11" t="s">
        <v>6</v>
      </c>
      <c r="B16" s="6"/>
      <c r="C16" s="12">
        <f>SUM(C12:C15)</f>
        <v>36239136</v>
      </c>
    </row>
    <row r="17" spans="1:6" ht="13.5" customHeight="1" x14ac:dyDescent="0.25">
      <c r="A17" s="13"/>
      <c r="B17" s="6"/>
      <c r="C17" s="14"/>
    </row>
    <row r="18" spans="1:6" ht="13.5" customHeight="1" x14ac:dyDescent="0.25">
      <c r="A18" s="11" t="s">
        <v>7</v>
      </c>
      <c r="B18" s="6"/>
      <c r="C18" s="15"/>
    </row>
    <row r="19" spans="1:6" ht="13.5" customHeight="1" x14ac:dyDescent="0.25">
      <c r="A19" s="10" t="s">
        <v>8</v>
      </c>
      <c r="B19" s="6"/>
      <c r="C19" s="5">
        <v>77132930.159999996</v>
      </c>
      <c r="D19" s="1"/>
      <c r="E19" s="26"/>
      <c r="F19" s="26"/>
    </row>
    <row r="20" spans="1:6" ht="13.5" customHeight="1" x14ac:dyDescent="0.25">
      <c r="A20" s="10" t="s">
        <v>9</v>
      </c>
      <c r="B20" s="6"/>
      <c r="C20" s="5">
        <f>7724532.06-5946735.02</f>
        <v>1777797.04</v>
      </c>
      <c r="D20" s="26"/>
      <c r="E20" s="1"/>
    </row>
    <row r="21" spans="1:6" ht="13.5" customHeight="1" x14ac:dyDescent="0.25">
      <c r="A21" s="11" t="s">
        <v>10</v>
      </c>
      <c r="B21" s="6"/>
      <c r="C21" s="12">
        <f>SUM(C19:C20)</f>
        <v>78910727.200000003</v>
      </c>
      <c r="D21" s="1"/>
      <c r="F21" s="26"/>
    </row>
    <row r="22" spans="1:6" ht="13.5" customHeight="1" x14ac:dyDescent="0.25">
      <c r="A22" s="13"/>
      <c r="B22" s="6"/>
      <c r="C22" s="16"/>
      <c r="E22" s="1"/>
    </row>
    <row r="23" spans="1:6" ht="13.5" customHeight="1" x14ac:dyDescent="0.25">
      <c r="A23" s="17" t="s">
        <v>11</v>
      </c>
      <c r="B23" s="6"/>
      <c r="C23" s="16"/>
    </row>
    <row r="24" spans="1:6" ht="13.5" customHeight="1" x14ac:dyDescent="0.25">
      <c r="A24" s="13" t="s">
        <v>12</v>
      </c>
      <c r="B24" s="6"/>
      <c r="C24" s="16">
        <v>198556.79999999999</v>
      </c>
    </row>
    <row r="25" spans="1:6" ht="15" customHeight="1" x14ac:dyDescent="0.25">
      <c r="A25" s="17" t="s">
        <v>13</v>
      </c>
      <c r="B25" s="6"/>
      <c r="C25" s="12"/>
      <c r="E25" s="26"/>
    </row>
    <row r="26" spans="1:6" ht="19.5" customHeight="1" thickBot="1" x14ac:dyDescent="0.3">
      <c r="A26" s="18" t="s">
        <v>14</v>
      </c>
      <c r="B26" s="6"/>
      <c r="C26" s="19">
        <f>C16+C21+C24</f>
        <v>115348420</v>
      </c>
      <c r="D26" s="1"/>
    </row>
    <row r="27" spans="1:6" ht="13.5" customHeight="1" thickTop="1" x14ac:dyDescent="0.25">
      <c r="A27" s="17"/>
      <c r="B27" s="6"/>
      <c r="C27" s="20"/>
    </row>
    <row r="28" spans="1:6" ht="13.5" customHeight="1" x14ac:dyDescent="0.25">
      <c r="A28" s="17" t="s">
        <v>15</v>
      </c>
      <c r="B28" s="6"/>
      <c r="C28" s="14"/>
    </row>
    <row r="29" spans="1:6" ht="13.5" customHeight="1" x14ac:dyDescent="0.25">
      <c r="A29" s="17" t="s">
        <v>16</v>
      </c>
      <c r="B29" s="6"/>
      <c r="C29" s="21"/>
    </row>
    <row r="30" spans="1:6" ht="13.5" customHeight="1" x14ac:dyDescent="0.25">
      <c r="A30" s="13" t="s">
        <v>17</v>
      </c>
      <c r="B30" s="6"/>
      <c r="C30" s="27">
        <v>7436999</v>
      </c>
      <c r="D30" s="26"/>
      <c r="E30" s="26"/>
    </row>
    <row r="31" spans="1:6" ht="13.5" customHeight="1" x14ac:dyDescent="0.25">
      <c r="A31" s="17" t="s">
        <v>18</v>
      </c>
      <c r="B31" s="6"/>
      <c r="C31" s="22">
        <f>SUM(C30)</f>
        <v>7436999</v>
      </c>
    </row>
    <row r="32" spans="1:6" ht="13.5" customHeight="1" x14ac:dyDescent="0.25">
      <c r="A32" s="17"/>
      <c r="B32" s="6"/>
      <c r="C32" s="20"/>
    </row>
    <row r="33" spans="1:5" s="2" customFormat="1" ht="13.5" customHeight="1" x14ac:dyDescent="0.25">
      <c r="A33" s="17" t="s">
        <v>30</v>
      </c>
      <c r="B33" s="6"/>
      <c r="C33" s="21"/>
    </row>
    <row r="34" spans="1:5" s="2" customFormat="1" ht="13.5" customHeight="1" x14ac:dyDescent="0.25">
      <c r="A34" s="13" t="s">
        <v>31</v>
      </c>
      <c r="B34" s="6"/>
      <c r="C34" s="27">
        <v>0</v>
      </c>
    </row>
    <row r="35" spans="1:5" s="2" customFormat="1" ht="13.5" customHeight="1" x14ac:dyDescent="0.25">
      <c r="A35" s="17" t="s">
        <v>18</v>
      </c>
      <c r="B35" s="6"/>
      <c r="C35" s="22">
        <f>SUM(C34)</f>
        <v>0</v>
      </c>
    </row>
    <row r="36" spans="1:5" s="2" customFormat="1" ht="13.5" customHeight="1" x14ac:dyDescent="0.25">
      <c r="A36" s="17"/>
      <c r="B36" s="6"/>
      <c r="C36" s="22"/>
    </row>
    <row r="37" spans="1:5" ht="13.5" customHeight="1" x14ac:dyDescent="0.25">
      <c r="A37" s="17" t="s">
        <v>19</v>
      </c>
      <c r="B37" s="6"/>
      <c r="C37" s="23"/>
      <c r="D37" s="26"/>
    </row>
    <row r="38" spans="1:5" ht="13.5" customHeight="1" x14ac:dyDescent="0.25">
      <c r="A38" s="13" t="s">
        <v>20</v>
      </c>
      <c r="B38" s="6"/>
      <c r="C38" s="3">
        <v>65298980.340000004</v>
      </c>
      <c r="D38" s="26"/>
    </row>
    <row r="39" spans="1:5" s="2" customFormat="1" ht="13.5" customHeight="1" x14ac:dyDescent="0.25">
      <c r="A39" s="13" t="s">
        <v>24</v>
      </c>
      <c r="B39" s="6"/>
      <c r="C39" s="3">
        <v>9876700.6600000001</v>
      </c>
      <c r="D39" s="26"/>
    </row>
    <row r="40" spans="1:5" ht="13.5" customHeight="1" x14ac:dyDescent="0.25">
      <c r="A40" s="13" t="s">
        <v>21</v>
      </c>
      <c r="B40" s="6"/>
      <c r="C40" s="4">
        <v>32735740</v>
      </c>
      <c r="D40" s="26"/>
      <c r="E40" s="26"/>
    </row>
    <row r="41" spans="1:5" ht="13.5" customHeight="1" x14ac:dyDescent="0.25">
      <c r="A41" s="17" t="s">
        <v>22</v>
      </c>
      <c r="B41" s="6"/>
      <c r="C41" s="24">
        <f>+C38+C39+C40</f>
        <v>107911421</v>
      </c>
      <c r="D41" s="26"/>
      <c r="E41" s="26"/>
    </row>
    <row r="42" spans="1:5" ht="13.5" customHeight="1" x14ac:dyDescent="0.25">
      <c r="A42" s="17"/>
      <c r="B42" s="6"/>
      <c r="C42" s="25"/>
      <c r="D42" s="26"/>
    </row>
    <row r="43" spans="1:5" ht="16.5" customHeight="1" thickBot="1" x14ac:dyDescent="0.3">
      <c r="A43" s="18" t="s">
        <v>23</v>
      </c>
      <c r="B43" s="6"/>
      <c r="C43" s="19">
        <f>+C31+C41</f>
        <v>115348420</v>
      </c>
      <c r="D43" s="1"/>
      <c r="E43" s="1"/>
    </row>
    <row r="44" spans="1:5" ht="15.75" thickTop="1" x14ac:dyDescent="0.25">
      <c r="D44" s="1"/>
      <c r="E44" s="26"/>
    </row>
    <row r="45" spans="1:5" s="2" customFormat="1" x14ac:dyDescent="0.25">
      <c r="A45" s="28" t="s">
        <v>25</v>
      </c>
      <c r="C45" s="2" t="s">
        <v>25</v>
      </c>
      <c r="D45" s="29"/>
    </row>
    <row r="46" spans="1:5" s="2" customFormat="1" ht="13.5" customHeight="1" x14ac:dyDescent="0.25">
      <c r="A46" s="30" t="s">
        <v>28</v>
      </c>
      <c r="B46" s="31"/>
      <c r="C46" s="31" t="s">
        <v>26</v>
      </c>
      <c r="D46" s="29"/>
    </row>
    <row r="47" spans="1:5" s="2" customFormat="1" ht="13.5" customHeight="1" x14ac:dyDescent="0.25">
      <c r="A47" s="30" t="s">
        <v>29</v>
      </c>
      <c r="B47" s="31"/>
      <c r="C47" s="31" t="s">
        <v>27</v>
      </c>
      <c r="D47" s="29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G48"/>
  <sheetViews>
    <sheetView topLeftCell="A16" workbookViewId="0">
      <selection activeCell="C24" sqref="C24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42578125" style="2" bestFit="1" customWidth="1"/>
    <col min="5" max="5" width="17.7109375" style="2" bestFit="1" customWidth="1"/>
    <col min="6" max="6" width="14.140625" style="2" bestFit="1" customWidth="1"/>
    <col min="7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33694763.890000001</v>
      </c>
      <c r="D12" s="38"/>
    </row>
    <row r="13" spans="1:6" ht="13.5" customHeight="1" x14ac:dyDescent="0.25">
      <c r="A13" s="10" t="s">
        <v>3</v>
      </c>
      <c r="B13" s="6"/>
      <c r="C13" s="37">
        <v>1699644</v>
      </c>
    </row>
    <row r="14" spans="1:6" ht="13.5" customHeight="1" x14ac:dyDescent="0.25">
      <c r="A14" s="10" t="s">
        <v>4</v>
      </c>
      <c r="B14" s="6"/>
      <c r="C14" s="38">
        <v>0</v>
      </c>
    </row>
    <row r="15" spans="1:6" ht="13.5" customHeight="1" x14ac:dyDescent="0.25">
      <c r="A15" s="10" t="s">
        <v>5</v>
      </c>
      <c r="B15" s="6"/>
      <c r="C15" s="38">
        <v>0</v>
      </c>
      <c r="F15" s="26">
        <f>E20-F20</f>
        <v>76536584.719999984</v>
      </c>
    </row>
    <row r="16" spans="1:6" ht="13.5" customHeight="1" thickBot="1" x14ac:dyDescent="0.3">
      <c r="A16" s="11" t="s">
        <v>6</v>
      </c>
      <c r="B16" s="6"/>
      <c r="C16" s="19">
        <f>SUM(C12:C15)</f>
        <v>35394407.890000001</v>
      </c>
    </row>
    <row r="17" spans="1:7" ht="13.5" customHeight="1" thickTop="1" x14ac:dyDescent="0.25">
      <c r="A17" s="13"/>
      <c r="B17" s="6"/>
      <c r="C17" s="40"/>
      <c r="E17" s="26"/>
    </row>
    <row r="18" spans="1:7" ht="13.5" customHeight="1" x14ac:dyDescent="0.25">
      <c r="A18" s="11" t="s">
        <v>7</v>
      </c>
      <c r="B18" s="6"/>
      <c r="C18" s="41"/>
      <c r="E18" s="26">
        <v>120371686.13</v>
      </c>
      <c r="F18" s="26">
        <v>8877166.6799999997</v>
      </c>
    </row>
    <row r="19" spans="1:7" ht="13.5" customHeight="1" x14ac:dyDescent="0.25">
      <c r="A19" s="10" t="s">
        <v>8</v>
      </c>
      <c r="B19" s="6"/>
      <c r="C19" s="42">
        <v>76536584.719999999</v>
      </c>
      <c r="D19" s="1"/>
      <c r="E19" s="34">
        <v>-41002378.399999999</v>
      </c>
      <c r="F19" s="34">
        <v>-6044443.6699999999</v>
      </c>
    </row>
    <row r="20" spans="1:7" ht="13.5" customHeight="1" x14ac:dyDescent="0.25">
      <c r="A20" s="10" t="s">
        <v>9</v>
      </c>
      <c r="B20" s="6"/>
      <c r="C20" s="42">
        <f>2832723.01-198556.8</f>
        <v>2634166.21</v>
      </c>
      <c r="D20" s="26"/>
      <c r="E20" s="26">
        <f>SUM(E18:E19)</f>
        <v>79369307.729999989</v>
      </c>
      <c r="F20" s="26">
        <f>SUM(F18:F19)</f>
        <v>2832723.01</v>
      </c>
      <c r="G20" s="26"/>
    </row>
    <row r="21" spans="1:7" ht="13.5" customHeight="1" thickBot="1" x14ac:dyDescent="0.3">
      <c r="A21" s="11" t="s">
        <v>10</v>
      </c>
      <c r="B21" s="6"/>
      <c r="C21" s="19">
        <f>SUM(C19:C20)</f>
        <v>79170750.929999992</v>
      </c>
      <c r="D21" s="1"/>
      <c r="E21" s="26">
        <f>E20-F20</f>
        <v>76536584.719999984</v>
      </c>
    </row>
    <row r="22" spans="1:7" ht="13.5" customHeight="1" thickTop="1" x14ac:dyDescent="0.25">
      <c r="A22" s="13"/>
      <c r="B22" s="6"/>
      <c r="C22" s="43"/>
      <c r="E22" s="1"/>
    </row>
    <row r="23" spans="1:7" ht="13.5" customHeight="1" x14ac:dyDescent="0.25">
      <c r="A23" s="17" t="s">
        <v>11</v>
      </c>
      <c r="B23" s="6"/>
      <c r="C23" s="43"/>
      <c r="D23" s="26"/>
    </row>
    <row r="24" spans="1:7" ht="13.5" customHeight="1" x14ac:dyDescent="0.25">
      <c r="A24" s="13" t="s">
        <v>12</v>
      </c>
      <c r="B24" s="6"/>
      <c r="C24" s="43">
        <v>198556.79999999999</v>
      </c>
    </row>
    <row r="25" spans="1:7" ht="15" customHeight="1" x14ac:dyDescent="0.25">
      <c r="A25" s="17" t="s">
        <v>13</v>
      </c>
      <c r="B25" s="6"/>
      <c r="C25" s="39"/>
      <c r="E25" s="26"/>
    </row>
    <row r="26" spans="1:7" ht="19.5" customHeight="1" thickBot="1" x14ac:dyDescent="0.3">
      <c r="A26" s="18" t="s">
        <v>14</v>
      </c>
      <c r="B26" s="6"/>
      <c r="C26" s="19">
        <f>C16+C21+C24</f>
        <v>114763715.61999999</v>
      </c>
      <c r="D26" s="1"/>
      <c r="E26" s="26"/>
    </row>
    <row r="27" spans="1:7" ht="13.5" customHeight="1" thickTop="1" x14ac:dyDescent="0.25">
      <c r="A27" s="17"/>
      <c r="B27" s="6"/>
      <c r="C27" s="44"/>
    </row>
    <row r="28" spans="1:7" ht="13.5" customHeight="1" x14ac:dyDescent="0.25">
      <c r="A28" s="17" t="s">
        <v>15</v>
      </c>
      <c r="B28" s="6"/>
      <c r="C28" s="40"/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v>3715888.6</v>
      </c>
      <c r="D30" s="26"/>
      <c r="E30" s="26"/>
    </row>
    <row r="31" spans="1:7" ht="13.5" customHeight="1" x14ac:dyDescent="0.25">
      <c r="A31" s="17" t="s">
        <v>18</v>
      </c>
      <c r="B31" s="6"/>
      <c r="C31" s="47">
        <f>SUM(C30)</f>
        <v>3715888.6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</row>
    <row r="39" spans="1:5" ht="13.5" customHeight="1" x14ac:dyDescent="0.25">
      <c r="A39" s="13" t="s">
        <v>24</v>
      </c>
      <c r="B39" s="6"/>
      <c r="C39" s="41">
        <f>13013106+0.68</f>
        <v>13013106.68</v>
      </c>
      <c r="D39" s="26"/>
    </row>
    <row r="40" spans="1:5" ht="13.5" customHeight="1" x14ac:dyDescent="0.25">
      <c r="A40" s="13" t="s">
        <v>21</v>
      </c>
      <c r="B40" s="6"/>
      <c r="C40" s="37">
        <v>32735740</v>
      </c>
      <c r="D40" s="26"/>
      <c r="E40" s="26"/>
    </row>
    <row r="41" spans="1:5" ht="13.5" customHeight="1" x14ac:dyDescent="0.25">
      <c r="A41" s="17" t="s">
        <v>22</v>
      </c>
      <c r="B41" s="6"/>
      <c r="C41" s="48">
        <f>+C38+C39+C40</f>
        <v>111047827.02000001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114763715.62</v>
      </c>
      <c r="D43" s="1"/>
      <c r="E43" s="1"/>
    </row>
    <row r="44" spans="1:5" ht="16.5" customHeight="1" thickTop="1" x14ac:dyDescent="0.25">
      <c r="A44" s="18"/>
      <c r="B44" s="6"/>
      <c r="C44" s="47"/>
      <c r="D44" s="1"/>
      <c r="E44" s="1"/>
    </row>
    <row r="45" spans="1:5" x14ac:dyDescent="0.25">
      <c r="D45" s="1"/>
      <c r="E45" s="26"/>
    </row>
    <row r="46" spans="1:5" x14ac:dyDescent="0.25">
      <c r="A46" s="28" t="s">
        <v>25</v>
      </c>
      <c r="C46" s="38" t="s">
        <v>25</v>
      </c>
      <c r="D46" s="29"/>
    </row>
    <row r="47" spans="1:5" ht="13.5" customHeight="1" x14ac:dyDescent="0.25">
      <c r="A47" s="30" t="s">
        <v>34</v>
      </c>
      <c r="B47" s="31"/>
      <c r="C47" s="50" t="s">
        <v>32</v>
      </c>
      <c r="D47" s="29"/>
    </row>
    <row r="48" spans="1:5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G48"/>
  <sheetViews>
    <sheetView topLeftCell="A7" zoomScale="110" zoomScaleNormal="110" workbookViewId="0">
      <selection activeCell="C24" sqref="C24"/>
    </sheetView>
  </sheetViews>
  <sheetFormatPr baseColWidth="10" defaultRowHeight="15" x14ac:dyDescent="0.25"/>
  <cols>
    <col min="1" max="1" width="54.5703125" style="2" customWidth="1"/>
    <col min="2" max="2" width="11.42578125" style="2"/>
    <col min="3" max="3" width="28.7109375" style="38" customWidth="1"/>
    <col min="4" max="4" width="18.42578125" style="2" bestFit="1" customWidth="1"/>
    <col min="5" max="5" width="20.7109375" style="2" customWidth="1"/>
    <col min="6" max="6" width="15.140625" style="2" bestFit="1" customWidth="1"/>
    <col min="7" max="7" width="16.85546875" style="2" customWidth="1"/>
    <col min="8" max="16384" width="11.42578125" style="2"/>
  </cols>
  <sheetData>
    <row r="6" spans="1:6" x14ac:dyDescent="0.25">
      <c r="A6" s="6"/>
      <c r="B6" s="6"/>
      <c r="C6" s="35"/>
    </row>
    <row r="7" spans="1:6" x14ac:dyDescent="0.25">
      <c r="A7" s="6"/>
      <c r="B7" s="6"/>
      <c r="C7" s="35"/>
    </row>
    <row r="8" spans="1:6" x14ac:dyDescent="0.25">
      <c r="A8" s="6"/>
      <c r="B8" s="6"/>
      <c r="C8" s="35"/>
    </row>
    <row r="9" spans="1:6" ht="13.5" customHeight="1" x14ac:dyDescent="0.25">
      <c r="A9" s="6"/>
      <c r="B9" s="6"/>
      <c r="C9" s="35"/>
    </row>
    <row r="10" spans="1:6" ht="13.5" customHeight="1" x14ac:dyDescent="0.25">
      <c r="A10" s="7" t="s">
        <v>0</v>
      </c>
      <c r="B10" s="6"/>
      <c r="C10" s="35"/>
    </row>
    <row r="11" spans="1:6" ht="13.5" customHeight="1" x14ac:dyDescent="0.25">
      <c r="A11" s="8" t="s">
        <v>1</v>
      </c>
      <c r="B11" s="6"/>
      <c r="C11" s="36"/>
    </row>
    <row r="12" spans="1:6" ht="13.5" customHeight="1" x14ac:dyDescent="0.25">
      <c r="A12" s="10" t="s">
        <v>2</v>
      </c>
      <c r="B12" s="6"/>
      <c r="C12" s="37">
        <v>35106917.009999998</v>
      </c>
    </row>
    <row r="13" spans="1:6" ht="13.5" customHeight="1" x14ac:dyDescent="0.25">
      <c r="A13" s="10" t="s">
        <v>3</v>
      </c>
      <c r="B13" s="6"/>
      <c r="C13" s="37">
        <v>1699643.92</v>
      </c>
    </row>
    <row r="14" spans="1:6" ht="13.5" customHeight="1" x14ac:dyDescent="0.25">
      <c r="A14" s="10" t="s">
        <v>4</v>
      </c>
      <c r="B14" s="6"/>
      <c r="C14" s="38">
        <v>0</v>
      </c>
    </row>
    <row r="15" spans="1:6" ht="13.5" customHeight="1" x14ac:dyDescent="0.25">
      <c r="A15" s="10" t="s">
        <v>5</v>
      </c>
      <c r="B15" s="6"/>
      <c r="C15" s="38">
        <v>0</v>
      </c>
      <c r="E15" s="26">
        <f>C16-37787222</f>
        <v>-980661.0700000003</v>
      </c>
      <c r="F15" s="26">
        <v>77563714.420000002</v>
      </c>
    </row>
    <row r="16" spans="1:6" ht="13.5" customHeight="1" thickBot="1" x14ac:dyDescent="0.3">
      <c r="A16" s="11" t="s">
        <v>6</v>
      </c>
      <c r="B16" s="6"/>
      <c r="C16" s="19">
        <f>SUM(C12:C15)</f>
        <v>36806560.93</v>
      </c>
      <c r="D16" s="38">
        <f>C16-C12</f>
        <v>1699643.9200000018</v>
      </c>
    </row>
    <row r="17" spans="1:7" ht="13.5" customHeight="1" thickTop="1" x14ac:dyDescent="0.25">
      <c r="A17" s="13"/>
      <c r="B17" s="6"/>
      <c r="C17" s="40"/>
      <c r="E17" s="26"/>
      <c r="F17" s="26"/>
    </row>
    <row r="18" spans="1:7" ht="13.5" customHeight="1" x14ac:dyDescent="0.25">
      <c r="A18" s="11" t="s">
        <v>7</v>
      </c>
      <c r="B18" s="6"/>
      <c r="C18" s="41"/>
      <c r="E18" s="26"/>
      <c r="F18" s="26"/>
    </row>
    <row r="19" spans="1:7" ht="13.5" customHeight="1" x14ac:dyDescent="0.25">
      <c r="A19" s="10" t="s">
        <v>8</v>
      </c>
      <c r="B19" s="6"/>
      <c r="C19" s="42">
        <v>77563714.420000002</v>
      </c>
      <c r="D19" s="1"/>
      <c r="E19" s="52">
        <v>118566092.81999999</v>
      </c>
      <c r="F19" s="52">
        <v>8877166.6799999997</v>
      </c>
      <c r="G19" s="26"/>
    </row>
    <row r="20" spans="1:7" ht="13.5" customHeight="1" x14ac:dyDescent="0.25">
      <c r="A20" s="10" t="s">
        <v>9</v>
      </c>
      <c r="B20" s="6"/>
      <c r="C20" s="42">
        <v>2832723.01</v>
      </c>
      <c r="D20" s="26"/>
      <c r="E20" s="34">
        <v>41002378.399999999</v>
      </c>
      <c r="F20" s="34">
        <v>6044443.6699999999</v>
      </c>
      <c r="G20" s="26"/>
    </row>
    <row r="21" spans="1:7" ht="17.25" customHeight="1" thickBot="1" x14ac:dyDescent="0.3">
      <c r="A21" s="11" t="s">
        <v>10</v>
      </c>
      <c r="B21" s="6"/>
      <c r="C21" s="19">
        <f>SUM(C19:C20)</f>
        <v>80396437.430000007</v>
      </c>
      <c r="D21" s="1"/>
      <c r="E21" s="26"/>
    </row>
    <row r="22" spans="1:7" ht="13.5" customHeight="1" thickTop="1" x14ac:dyDescent="0.25">
      <c r="A22" s="13"/>
      <c r="B22" s="6"/>
      <c r="C22" s="43"/>
      <c r="E22" s="1">
        <f>E19-E20</f>
        <v>77563714.419999987</v>
      </c>
      <c r="F22" s="26">
        <f>F19-F20</f>
        <v>2832723.01</v>
      </c>
    </row>
    <row r="23" spans="1:7" ht="13.5" customHeight="1" x14ac:dyDescent="0.25">
      <c r="A23" s="17" t="s">
        <v>11</v>
      </c>
      <c r="B23" s="6"/>
      <c r="C23" s="43"/>
    </row>
    <row r="24" spans="1:7" ht="13.5" customHeight="1" x14ac:dyDescent="0.25">
      <c r="A24" s="13" t="s">
        <v>12</v>
      </c>
      <c r="B24" s="6"/>
      <c r="C24" s="43">
        <v>198556.79999999999</v>
      </c>
      <c r="D24" s="38"/>
      <c r="F24" s="26">
        <f>E19-F19</f>
        <v>109688926.13999999</v>
      </c>
    </row>
    <row r="25" spans="1:7" ht="15" customHeight="1" x14ac:dyDescent="0.25">
      <c r="A25" s="17" t="s">
        <v>13</v>
      </c>
      <c r="B25" s="6"/>
      <c r="C25" s="39"/>
      <c r="E25" s="26"/>
    </row>
    <row r="26" spans="1:7" ht="19.5" customHeight="1" thickBot="1" x14ac:dyDescent="0.3">
      <c r="A26" s="18" t="s">
        <v>14</v>
      </c>
      <c r="B26" s="6"/>
      <c r="C26" s="19">
        <f>C16+C21+C24</f>
        <v>117401555.16000001</v>
      </c>
      <c r="D26" s="1"/>
      <c r="E26" s="26">
        <f>C26-120623511.39</f>
        <v>-3221956.2299999893</v>
      </c>
    </row>
    <row r="27" spans="1:7" ht="13.5" customHeight="1" thickTop="1" x14ac:dyDescent="0.25">
      <c r="A27" s="17"/>
      <c r="B27" s="6"/>
      <c r="C27" s="44"/>
    </row>
    <row r="28" spans="1:7" ht="13.5" customHeight="1" x14ac:dyDescent="0.25">
      <c r="A28" s="17" t="s">
        <v>15</v>
      </c>
      <c r="B28" s="6"/>
      <c r="C28" s="40"/>
      <c r="E28" s="26">
        <f>C26-' AGOSTO-2019 '!C26</f>
        <v>2637839.5400000215</v>
      </c>
    </row>
    <row r="29" spans="1:7" ht="13.5" customHeight="1" x14ac:dyDescent="0.25">
      <c r="A29" s="17" t="s">
        <v>16</v>
      </c>
      <c r="B29" s="6"/>
      <c r="C29" s="45"/>
    </row>
    <row r="30" spans="1:7" ht="13.5" customHeight="1" x14ac:dyDescent="0.25">
      <c r="A30" s="13" t="s">
        <v>17</v>
      </c>
      <c r="B30" s="6"/>
      <c r="C30" s="46">
        <v>4630417.82</v>
      </c>
      <c r="D30" s="26"/>
      <c r="E30" s="26"/>
    </row>
    <row r="31" spans="1:7" ht="13.5" customHeight="1" x14ac:dyDescent="0.25">
      <c r="A31" s="17" t="s">
        <v>18</v>
      </c>
      <c r="B31" s="6"/>
      <c r="C31" s="47">
        <f>SUM(C30)</f>
        <v>4630417.82</v>
      </c>
    </row>
    <row r="32" spans="1:7" ht="13.5" customHeight="1" x14ac:dyDescent="0.25">
      <c r="A32" s="17"/>
      <c r="B32" s="6"/>
      <c r="C32" s="44"/>
    </row>
    <row r="33" spans="1:5" ht="13.5" customHeight="1" x14ac:dyDescent="0.25">
      <c r="A33" s="17" t="s">
        <v>30</v>
      </c>
      <c r="B33" s="6"/>
      <c r="C33" s="45"/>
    </row>
    <row r="34" spans="1:5" ht="13.5" customHeight="1" x14ac:dyDescent="0.25">
      <c r="A34" s="13" t="s">
        <v>31</v>
      </c>
      <c r="B34" s="6"/>
      <c r="C34" s="51">
        <v>0</v>
      </c>
    </row>
    <row r="35" spans="1:5" ht="13.5" customHeight="1" x14ac:dyDescent="0.25">
      <c r="A35" s="17" t="s">
        <v>18</v>
      </c>
      <c r="B35" s="6"/>
      <c r="C35" s="38">
        <v>0</v>
      </c>
    </row>
    <row r="36" spans="1:5" ht="13.5" customHeight="1" x14ac:dyDescent="0.25">
      <c r="A36" s="17"/>
      <c r="B36" s="6"/>
      <c r="C36" s="47"/>
    </row>
    <row r="37" spans="1:5" ht="13.5" customHeight="1" x14ac:dyDescent="0.25">
      <c r="A37" s="17" t="s">
        <v>19</v>
      </c>
      <c r="B37" s="6"/>
      <c r="C37" s="41"/>
      <c r="D37" s="26"/>
    </row>
    <row r="38" spans="1:5" ht="13.5" customHeight="1" x14ac:dyDescent="0.25">
      <c r="A38" s="13" t="s">
        <v>20</v>
      </c>
      <c r="B38" s="6"/>
      <c r="C38" s="41">
        <v>65298980.340000004</v>
      </c>
      <c r="D38" s="26"/>
    </row>
    <row r="39" spans="1:5" ht="13.5" customHeight="1" x14ac:dyDescent="0.25">
      <c r="A39" s="13" t="s">
        <v>24</v>
      </c>
      <c r="B39" s="6"/>
      <c r="C39" s="41">
        <v>32340061.899999999</v>
      </c>
      <c r="D39" s="26"/>
      <c r="E39" s="38">
        <f>C39+8324406.5</f>
        <v>40664468.399999999</v>
      </c>
    </row>
    <row r="40" spans="1:5" ht="13.5" customHeight="1" x14ac:dyDescent="0.25">
      <c r="A40" s="13" t="s">
        <v>21</v>
      </c>
      <c r="B40" s="6"/>
      <c r="C40" s="37">
        <v>14736417</v>
      </c>
      <c r="D40" s="26"/>
      <c r="E40" s="26"/>
    </row>
    <row r="41" spans="1:5" ht="13.5" customHeight="1" x14ac:dyDescent="0.25">
      <c r="A41" s="17" t="s">
        <v>22</v>
      </c>
      <c r="B41" s="6"/>
      <c r="C41" s="48">
        <f>+C38+C39+C40</f>
        <v>112375459.24000001</v>
      </c>
      <c r="D41" s="26"/>
      <c r="E41" s="26"/>
    </row>
    <row r="42" spans="1:5" ht="13.5" customHeight="1" x14ac:dyDescent="0.25">
      <c r="A42" s="17"/>
      <c r="B42" s="6"/>
      <c r="C42" s="49"/>
      <c r="D42" s="26"/>
      <c r="E42" s="26"/>
    </row>
    <row r="43" spans="1:5" ht="16.5" customHeight="1" thickBot="1" x14ac:dyDescent="0.3">
      <c r="A43" s="18" t="s">
        <v>23</v>
      </c>
      <c r="B43" s="6"/>
      <c r="C43" s="19">
        <f>+C31+C41</f>
        <v>117005877.06</v>
      </c>
      <c r="D43" s="1"/>
      <c r="E43" s="1"/>
    </row>
    <row r="44" spans="1:5" ht="16.5" customHeight="1" thickTop="1" x14ac:dyDescent="0.25">
      <c r="A44" s="18"/>
      <c r="B44" s="6"/>
      <c r="C44" s="47"/>
      <c r="D44" s="1"/>
      <c r="E44" s="1"/>
    </row>
    <row r="45" spans="1:5" x14ac:dyDescent="0.25">
      <c r="D45" s="1"/>
      <c r="E45" s="26">
        <f>C43-C26</f>
        <v>-395678.10000000894</v>
      </c>
    </row>
    <row r="46" spans="1:5" x14ac:dyDescent="0.25">
      <c r="A46" s="28" t="s">
        <v>25</v>
      </c>
      <c r="C46" s="38" t="s">
        <v>25</v>
      </c>
      <c r="D46" s="29"/>
    </row>
    <row r="47" spans="1:5" ht="13.5" customHeight="1" x14ac:dyDescent="0.25">
      <c r="A47" s="30" t="s">
        <v>34</v>
      </c>
      <c r="B47" s="31"/>
      <c r="C47" s="50" t="s">
        <v>32</v>
      </c>
      <c r="D47" s="29"/>
    </row>
    <row r="48" spans="1:5" ht="13.5" customHeight="1" x14ac:dyDescent="0.25">
      <c r="A48" s="30" t="s">
        <v>35</v>
      </c>
      <c r="B48" s="31"/>
      <c r="C48" s="50" t="s">
        <v>33</v>
      </c>
      <c r="D48" s="29"/>
    </row>
  </sheetData>
  <pageMargins left="0.43307086614173229" right="0.43307086614173229" top="0.74803149606299213" bottom="0.74803149606299213" header="0.31496062992125984" footer="0.31496062992125984"/>
  <pageSetup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33</vt:i4>
      </vt:variant>
      <vt:variant>
        <vt:lpstr>Rangos con nombre</vt:lpstr>
      </vt:variant>
      <vt:variant>
        <vt:i4>27</vt:i4>
      </vt:variant>
    </vt:vector>
  </HeadingPairs>
  <TitlesOfParts>
    <vt:vector size="60" baseType="lpstr">
      <vt:lpstr>ABRIL- 2021      (3)</vt:lpstr>
      <vt:lpstr>Hoja4</vt:lpstr>
      <vt:lpstr>ABRIL- 2021      (2)</vt:lpstr>
      <vt:lpstr>SEPTIEMBRE 2020    (3)</vt:lpstr>
      <vt:lpstr>SEPTIEMBRE 2020    (2)</vt:lpstr>
      <vt:lpstr>ABRIL-2020    (2)</vt:lpstr>
      <vt:lpstr>JULIO 2019</vt:lpstr>
      <vt:lpstr> AGOSTO-2019 </vt:lpstr>
      <vt:lpstr> SEPTIEMBRE-2019  </vt:lpstr>
      <vt:lpstr>OCTUBRE-2019</vt:lpstr>
      <vt:lpstr>Hoja8</vt:lpstr>
      <vt:lpstr>NOVIEMBRE-2019</vt:lpstr>
      <vt:lpstr>DICIEMBRE-2019</vt:lpstr>
      <vt:lpstr>ENERO-2020</vt:lpstr>
      <vt:lpstr>FEBRERO-2020 </vt:lpstr>
      <vt:lpstr>MARZO-2020  </vt:lpstr>
      <vt:lpstr>ABRIL 2020</vt:lpstr>
      <vt:lpstr>MAYO 2020</vt:lpstr>
      <vt:lpstr>JUNIO 2020 </vt:lpstr>
      <vt:lpstr>JULIO 2020  </vt:lpstr>
      <vt:lpstr>AGOSTO 2020  </vt:lpstr>
      <vt:lpstr>SEPTIEMBRE 2020    (4)</vt:lpstr>
      <vt:lpstr>OCTUBRE- 2020   </vt:lpstr>
      <vt:lpstr>NOVIEMBRE- 2020     </vt:lpstr>
      <vt:lpstr>DICIEMBRE- 2020  </vt:lpstr>
      <vt:lpstr>ENERO- 2021    </vt:lpstr>
      <vt:lpstr>FEBRERO- 2021   </vt:lpstr>
      <vt:lpstr>MARZO- 2021    </vt:lpstr>
      <vt:lpstr>ABRIL- 2021     </vt:lpstr>
      <vt:lpstr>MAYO-2021</vt:lpstr>
      <vt:lpstr>JUNIO-2021 </vt:lpstr>
      <vt:lpstr>DIC.2021</vt:lpstr>
      <vt:lpstr>Hoja1</vt:lpstr>
      <vt:lpstr>'ABRIL 2020'!Área_de_impresión</vt:lpstr>
      <vt:lpstr>'ABRIL- 2021     '!Área_de_impresión</vt:lpstr>
      <vt:lpstr>'ABRIL- 2021      (2)'!Área_de_impresión</vt:lpstr>
      <vt:lpstr>'ABRIL- 2021      (3)'!Área_de_impresión</vt:lpstr>
      <vt:lpstr>'ABRIL-2020    (2)'!Área_de_impresión</vt:lpstr>
      <vt:lpstr>'AGOSTO 2020  '!Área_de_impresión</vt:lpstr>
      <vt:lpstr>DIC.2021!Área_de_impresión</vt:lpstr>
      <vt:lpstr>'DICIEMBRE- 2020  '!Área_de_impresión</vt:lpstr>
      <vt:lpstr>'DICIEMBRE-2019'!Área_de_impresión</vt:lpstr>
      <vt:lpstr>'ENERO- 2021    '!Área_de_impresión</vt:lpstr>
      <vt:lpstr>'ENERO-2020'!Área_de_impresión</vt:lpstr>
      <vt:lpstr>'FEBRERO- 2021   '!Área_de_impresión</vt:lpstr>
      <vt:lpstr>'FEBRERO-2020 '!Área_de_impresión</vt:lpstr>
      <vt:lpstr>'JULIO 2020  '!Área_de_impresión</vt:lpstr>
      <vt:lpstr>'JUNIO 2020 '!Área_de_impresión</vt:lpstr>
      <vt:lpstr>'JUNIO-2021 '!Área_de_impresión</vt:lpstr>
      <vt:lpstr>'MARZO- 2021    '!Área_de_impresión</vt:lpstr>
      <vt:lpstr>'MARZO-2020  '!Área_de_impresión</vt:lpstr>
      <vt:lpstr>'MAYO 2020'!Área_de_impresión</vt:lpstr>
      <vt:lpstr>'MAYO-2021'!Área_de_impresión</vt:lpstr>
      <vt:lpstr>'NOVIEMBRE- 2020     '!Área_de_impresión</vt:lpstr>
      <vt:lpstr>'NOVIEMBRE-2019'!Área_de_impresión</vt:lpstr>
      <vt:lpstr>'OCTUBRE- 2020   '!Área_de_impresión</vt:lpstr>
      <vt:lpstr>'OCTUBRE-2019'!Área_de_impresión</vt:lpstr>
      <vt:lpstr>'SEPTIEMBRE 2020    (2)'!Área_de_impresión</vt:lpstr>
      <vt:lpstr>'SEPTIEMBRE 2020    (3)'!Área_de_impresión</vt:lpstr>
      <vt:lpstr>'SEPTIEMBRE 2020    (4)'!Área_de_impresión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2022-01-12T14:57:38Z</cp:lastPrinted>
  <dcterms:created xsi:type="dcterms:W3CDTF">2014-07-02T15:20:59Z</dcterms:created>
  <dcterms:modified xsi:type="dcterms:W3CDTF">2022-01-19T19:38:39Z</dcterms:modified>
</cp:coreProperties>
</file>